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7" sheetId="6" r:id="rId6"/>
    <sheet name="L10" sheetId="7" r:id="rId7"/>
    <sheet name="L16" sheetId="8" r:id="rId8"/>
    <sheet name="L24" sheetId="9" r:id="rId9"/>
    <sheet name="L37FPI" sheetId="10" r:id="rId10"/>
    <sheet name="L37Lives" sheetId="11" r:id="rId11"/>
    <sheet name="L38 FPI" sheetId="12" r:id="rId12"/>
    <sheet name="L38 NOP" sheetId="13" r:id="rId13"/>
  </sheets>
  <definedNames/>
  <calcPr fullCalcOnLoad="1"/>
</workbook>
</file>

<file path=xl/sharedStrings.xml><?xml version="1.0" encoding="utf-8"?>
<sst xmlns="http://schemas.openxmlformats.org/spreadsheetml/2006/main" count="1530" uniqueCount="330">
  <si>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</si>
  <si>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</si>
  <si>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</si>
  <si>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</si>
  <si>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</si>
  <si>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</si>
  <si>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</si>
  <si>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</si>
  <si>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</si>
  <si>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</si>
  <si>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</si>
  <si>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</si>
  <si>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</si>
  <si>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</si>
  <si>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</si>
  <si>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</si>
  <si>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</si>
  <si>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</si>
  <si>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</si>
  <si>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</si>
  <si>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</si>
  <si>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</si>
  <si>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</si>
  <si>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</si>
  <si>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</si>
  <si>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</si>
  <si>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</si>
  <si>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</si>
  <si>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</si>
  <si>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</si>
  <si>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</si>
  <si>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</si>
  <si>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</si>
  <si>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</si>
  <si>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</si>
  <si>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</si>
  <si>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</si>
  <si>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</si>
  <si>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</si>
  <si>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</si>
  <si>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</si>
  <si>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</si>
  <si>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</si>
  <si>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</si>
  <si>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</si>
  <si>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</si>
  <si>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</si>
  <si>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</si>
  <si>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</si>
  <si>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</si>
  <si>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</si>
  <si>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</si>
  <si>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</si>
  <si>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</si>
  <si>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</si>
  <si>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</si>
  <si>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</si>
  <si>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</si>
  <si>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</si>
  <si>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</si>
  <si>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</si>
  <si>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</si>
  <si>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</si>
  <si>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</si>
  <si>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</si>
  <si>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</si>
  <si>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</si>
  <si>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</si>
  <si>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</si>
  <si>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</si>
  <si>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</si>
  <si>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</si>
  <si>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</si>
  <si>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</si>
  <si>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</si>
  <si>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</si>
  <si>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</si>
  <si>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</si>
  <si>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</si>
  <si>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</si>
  <si>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</si>
  <si>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</si>
  <si>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</si>
  <si>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</si>
  <si>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</si>
  <si>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</si>
  <si>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</si>
  <si>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</si>
  <si>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</si>
  <si>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</si>
  <si>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</si>
  <si>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</si>
  <si>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</si>
  <si>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</si>
  <si>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</si>
  <si>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</si>
  <si>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</si>
  <si>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</si>
  <si>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</si>
  <si>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</si>
  <si>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</si>
  <si>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</si>
  <si>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</si>
  <si>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</si>
  <si>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</si>
  <si>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</si>
  <si>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</si>
  <si>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</si>
  <si>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</si>
  <si>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</si>
  <si>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</si>
  <si>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</si>
  <si>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</si>
  <si>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</si>
  <si>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</si>
  <si>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</si>
  <si>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</si>
  <si>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</si>
  <si>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</si>
  <si>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</si>
  <si>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</si>
  <si>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</si>
  <si>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</si>
  <si>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</si>
  <si>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</si>
  <si>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</si>
  <si>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</si>
  <si>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</si>
  <si>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</si>
  <si>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</si>
  <si>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</si>
  <si>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</si>
  <si>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</si>
  <si>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</si>
  <si>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</si>
  <si>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</si>
  <si>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</si>
  <si>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</si>
  <si>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</si>
  <si>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</si>
  <si>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</si>
  <si>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</si>
  <si>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Figure in '000'</t>
  </si>
  <si>
    <t xml:space="preserve"> Cost / Gross Block </t>
  </si>
  <si>
    <t xml:space="preserve"> Depreciation / Amortisation </t>
  </si>
  <si>
    <t>Net Block</t>
  </si>
  <si>
    <t>Goodwill</t>
  </si>
  <si>
    <t xml:space="preserve">Intangibles - software </t>
  </si>
  <si>
    <t>Land-freehold</t>
  </si>
  <si>
    <t>Leasehold property</t>
  </si>
  <si>
    <t xml:space="preserve">Building on freehold land </t>
  </si>
  <si>
    <t>Building on leasehold land</t>
  </si>
  <si>
    <t>Furniture &amp; fittings</t>
  </si>
  <si>
    <t>Information technology equipment</t>
  </si>
  <si>
    <t>Vehicles</t>
  </si>
  <si>
    <t>Office equipment</t>
  </si>
  <si>
    <t>Leasehold improvements</t>
  </si>
  <si>
    <t>Servers &amp; Networks</t>
  </si>
  <si>
    <t>Electrical fittings</t>
  </si>
  <si>
    <t>Air Conditioner</t>
  </si>
  <si>
    <t>Mobile Phones &amp; Tablets/communication network</t>
  </si>
  <si>
    <t>Capital Work in Progress and Capital Advances</t>
  </si>
  <si>
    <t xml:space="preserve"># Includes certain asset leased pursuant to operating lease agreements </t>
  </si>
  <si>
    <t xml:space="preserve">IDBI Federal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</si>
  <si>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</si>
  <si>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</si>
  <si>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</si>
  <si>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</si>
  <si>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</si>
  <si>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</si>
  <si>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</si>
  <si>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</si>
  <si>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</si>
  <si>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</si>
  <si>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</si>
  <si>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</si>
  <si>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</si>
  <si>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</si>
  <si>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</si>
  <si>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</si>
  <si>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</si>
  <si>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</si>
  <si>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</si>
  <si>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</si>
  <si>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</si>
  <si>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</si>
  <si>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</si>
  <si>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</si>
  <si>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</si>
  <si>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</si>
  <si>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</si>
  <si>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</si>
  <si>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</si>
  <si>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</si>
  <si>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</si>
  <si>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</si>
  <si>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</si>
  <si>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</si>
  <si>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</si>
  <si>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</si>
  <si>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</si>
  <si>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</si>
  <si>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</si>
  <si>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</si>
  <si>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</si>
  <si>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</si>
  <si>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</si>
  <si>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</si>
  <si>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</si>
  <si>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</si>
  <si>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</si>
  <si>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</si>
  <si>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</si>
  <si>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</si>
  <si>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a) Life</t>
  </si>
  <si>
    <t>b) General Annuity</t>
  </si>
  <si>
    <t>c) Pension</t>
  </si>
  <si>
    <t>d) Health</t>
  </si>
  <si>
    <t>Non-Linked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</si>
  <si>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</si>
  <si>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</si>
  <si>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</si>
  <si>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</si>
  <si>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</si>
  <si>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</si>
  <si>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</si>
  <si>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</si>
  <si>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</si>
  <si>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</si>
  <si>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</si>
  <si>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</si>
  <si>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</si>
  <si>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Form L-10-Reserves and Surplus Schedule(Amount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</si>
  <si>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</si>
  <si>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</si>
  <si>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</si>
  <si>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</si>
  <si>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</si>
  <si>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</si>
  <si>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</si>
  <si>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</si>
  <si>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</si>
  <si>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</si>
  <si>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</si>
  <si>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</si>
  <si>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</si>
  <si>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Upto Q4 2016</t>
  </si>
  <si>
    <t>Upto Q4 2017</t>
  </si>
  <si>
    <t>AS at 31.03.2016</t>
  </si>
  <si>
    <t>AS at 31.03.2017</t>
  </si>
  <si>
    <t>FORM L-24  Valuation of net liabiltiies: As at 31.03.2016 &amp; 31.03.2017</t>
  </si>
  <si>
    <r>
      <t xml:space="preserve">L-16: - Fixed Assets Schedules </t>
    </r>
    <r>
      <rPr>
        <b/>
        <sz val="9"/>
        <color indexed="8"/>
        <rFont val="Comic Sans MS"/>
        <family val="4"/>
      </rPr>
      <t>(As at 31.03.2017)</t>
    </r>
  </si>
  <si>
    <r>
      <t xml:space="preserve">L-16: - Fixed Assets Schedules </t>
    </r>
    <r>
      <rPr>
        <b/>
        <sz val="9"/>
        <color indexed="8"/>
        <rFont val="Comic Sans MS"/>
        <family val="4"/>
      </rPr>
      <t>(As at 31.03.2016)</t>
    </r>
  </si>
  <si>
    <t>Upto Q4 1516</t>
  </si>
  <si>
    <t>Upto Q4 1617</t>
  </si>
  <si>
    <t>Sub-Total</t>
  </si>
  <si>
    <t>Provision for current tax</t>
  </si>
  <si>
    <t>Deferred Tax credit</t>
  </si>
  <si>
    <t>Surpus after Appropriation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</si>
  <si>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</si>
  <si>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</si>
  <si>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</si>
  <si>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</si>
  <si>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</si>
  <si>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</si>
  <si>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</si>
  <si>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</si>
  <si>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</si>
  <si>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</si>
  <si>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</si>
  <si>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</si>
  <si>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</si>
  <si>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</si>
  <si>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</si>
  <si>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</si>
  <si>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</si>
  <si>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</si>
  <si>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</si>
  <si>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</si>
  <si>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</si>
  <si>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</si>
  <si>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</si>
  <si>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</si>
  <si>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</si>
  <si>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</si>
  <si>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</si>
  <si>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</si>
  <si>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</si>
  <si>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</si>
  <si>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</si>
  <si>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</si>
  <si>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</si>
  <si>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</si>
  <si>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</si>
  <si>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t>Current Assets</t>
  </si>
  <si>
    <t>Deferred Tax Assets</t>
  </si>
  <si>
    <t>Sub-Total (A)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</si>
  <si>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</si>
  <si>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</si>
  <si>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</si>
  <si>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</si>
  <si>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</si>
  <si>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</si>
  <si>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</si>
  <si>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</si>
  <si>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</si>
  <si>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</si>
  <si>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</si>
  <si>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</si>
  <si>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</si>
  <si>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Audited as at 31st March 2016</t>
  </si>
  <si>
    <t>Audited as at 31st March 2017</t>
  </si>
  <si>
    <t>Current Tac (Credit)/Charge</t>
  </si>
  <si>
    <t>Expenses in excess of Allowable Expense transferred from Policyholders Account</t>
  </si>
  <si>
    <t>(e) Others</t>
  </si>
  <si>
    <t>Non Unit Mathematical reserve</t>
  </si>
  <si>
    <t>Assets held to cover discontinued funds</t>
  </si>
  <si>
    <r>
      <t>Advances And Other Assets</t>
    </r>
    <r>
      <rPr>
        <b/>
        <sz val="8"/>
        <color indexed="30"/>
        <rFont val="Comic Sans MS"/>
        <family val="4"/>
      </rPr>
      <t xml:space="preserve"> L18</t>
    </r>
  </si>
  <si>
    <r>
      <t xml:space="preserve">Cash and Bank Balances </t>
    </r>
    <r>
      <rPr>
        <b/>
        <sz val="8"/>
        <color indexed="30"/>
        <rFont val="Comic Sans MS"/>
        <family val="4"/>
      </rPr>
      <t>L17</t>
    </r>
  </si>
  <si>
    <r>
      <t xml:space="preserve">Current Liabilities </t>
    </r>
    <r>
      <rPr>
        <b/>
        <sz val="8"/>
        <color indexed="30"/>
        <rFont val="Comic Sans MS"/>
        <family val="4"/>
      </rPr>
      <t>L19</t>
    </r>
  </si>
  <si>
    <r>
      <t xml:space="preserve">Provisions </t>
    </r>
    <r>
      <rPr>
        <b/>
        <sz val="8"/>
        <color indexed="30"/>
        <rFont val="Comic Sans MS"/>
        <family val="4"/>
      </rPr>
      <t>L20</t>
    </r>
  </si>
  <si>
    <r>
      <t xml:space="preserve">Fixed Assets </t>
    </r>
    <r>
      <rPr>
        <b/>
        <sz val="8"/>
        <color indexed="30"/>
        <rFont val="Comic Sans MS"/>
        <family val="4"/>
      </rPr>
      <t>L 16</t>
    </r>
  </si>
  <si>
    <r>
      <t>Loans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L15</t>
    </r>
  </si>
  <si>
    <r>
      <t xml:space="preserve">Shareholders' 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L12</t>
    </r>
  </si>
  <si>
    <r>
      <t xml:space="preserve">Policyholders'  </t>
    </r>
    <r>
      <rPr>
        <b/>
        <sz val="8"/>
        <color indexed="30"/>
        <rFont val="Comic Sans MS"/>
        <family val="4"/>
      </rPr>
      <t>L13</t>
    </r>
  </si>
  <si>
    <r>
      <t>Assets Held To Cover Linked Liabilities</t>
    </r>
    <r>
      <rPr>
        <sz val="8"/>
        <color indexed="30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L14</t>
    </r>
  </si>
  <si>
    <r>
      <t xml:space="preserve">Sub-Total </t>
    </r>
    <r>
      <rPr>
        <b/>
        <sz val="8"/>
        <color indexed="30"/>
        <rFont val="Comic Sans MS"/>
        <family val="4"/>
      </rPr>
      <t>(B)</t>
    </r>
  </si>
  <si>
    <t>Deferred tax liability</t>
  </si>
  <si>
    <t>Previous period ended March,2015</t>
  </si>
  <si>
    <t>Previous period ended March,2016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</si>
</sst>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8"/>
      <color indexed="8"/>
      <name val="Comic Sans MS"/>
      <family val="4"/>
    </font>
    <font>
      <b/>
      <sz val="8"/>
      <color indexed="30"/>
      <name val="Comic Sans MS"/>
      <family val="4"/>
    </font>
    <font>
      <sz val="8"/>
      <color indexed="3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b/>
      <sz val="9"/>
      <color indexed="10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i/>
      <sz val="9"/>
      <color indexed="8"/>
      <name val="Comic Sans MS"/>
      <family val="4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b/>
      <sz val="8"/>
      <color indexed="62"/>
      <name val="Comic Sans MS"/>
      <family val="4"/>
    </font>
    <font>
      <sz val="11"/>
      <color indexed="62"/>
      <name val="Comic Sans MS"/>
      <family val="4"/>
    </font>
    <font>
      <sz val="8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8"/>
      <color indexed="62"/>
      <name val="Cambria"/>
      <family val="1"/>
    </font>
    <font>
      <b/>
      <sz val="11"/>
      <color indexed="8"/>
      <name val="Comic Sans MS"/>
      <family val="4"/>
    </font>
    <font>
      <sz val="9"/>
      <color indexed="8"/>
      <name val="Cambria"/>
      <family val="1"/>
    </font>
    <font>
      <b/>
      <sz val="11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30"/>
      <name val="Comic Sans MS"/>
      <family val="4"/>
    </font>
    <font>
      <b/>
      <sz val="14"/>
      <color indexed="8"/>
      <name val="Comic Sans MS"/>
      <family val="4"/>
    </font>
    <font>
      <b/>
      <i/>
      <sz val="9"/>
      <color indexed="62"/>
      <name val="Comic Sans MS"/>
      <family val="4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0"/>
      <color theme="8"/>
      <name val="Comic Sans MS"/>
      <family val="4"/>
    </font>
    <font>
      <b/>
      <sz val="8"/>
      <color theme="8"/>
      <name val="Cambria"/>
      <family val="1"/>
    </font>
    <font>
      <sz val="9"/>
      <color rgb="FF000000"/>
      <name val="Cambria"/>
      <family val="1"/>
    </font>
    <font>
      <sz val="10"/>
      <color rgb="FF00000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0070C0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0"/>
      <color rgb="FF000000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b/>
      <i/>
      <sz val="9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33">
    <xf numFmtId="0" fontId="0" fillId="0" borderId="0" xfId="0" applyFont="1" applyAlignment="1">
      <alignment/>
    </xf>
    <xf numFmtId="2" fontId="80" fillId="0" borderId="10" xfId="0" applyNumberFormat="1" applyFont="1" applyBorder="1" applyAlignment="1">
      <alignment horizontal="left"/>
    </xf>
    <xf numFmtId="2" fontId="80" fillId="0" borderId="11" xfId="0" applyNumberFormat="1" applyFont="1" applyBorder="1" applyAlignment="1">
      <alignment horizontal="left"/>
    </xf>
    <xf numFmtId="2" fontId="80" fillId="0" borderId="12" xfId="0" applyNumberFormat="1" applyFont="1" applyBorder="1" applyAlignment="1">
      <alignment horizontal="left"/>
    </xf>
    <xf numFmtId="2" fontId="80" fillId="0" borderId="12" xfId="44" applyNumberFormat="1" applyFont="1" applyBorder="1" applyAlignment="1">
      <alignment horizontal="left"/>
    </xf>
    <xf numFmtId="2" fontId="81" fillId="0" borderId="10" xfId="0" applyNumberFormat="1" applyFont="1" applyBorder="1" applyAlignment="1">
      <alignment horizontal="left"/>
    </xf>
    <xf numFmtId="2" fontId="81" fillId="0" borderId="11" xfId="0" applyNumberFormat="1" applyFont="1" applyBorder="1" applyAlignment="1">
      <alignment horizontal="left"/>
    </xf>
    <xf numFmtId="2" fontId="81" fillId="0" borderId="12" xfId="0" applyNumberFormat="1" applyFont="1" applyBorder="1" applyAlignment="1">
      <alignment horizontal="left"/>
    </xf>
    <xf numFmtId="2" fontId="82" fillId="0" borderId="10" xfId="0" applyNumberFormat="1" applyFont="1" applyBorder="1" applyAlignment="1">
      <alignment horizontal="left"/>
    </xf>
    <xf numFmtId="2" fontId="82" fillId="0" borderId="11" xfId="0" applyNumberFormat="1" applyFont="1" applyBorder="1" applyAlignment="1">
      <alignment horizontal="left"/>
    </xf>
    <xf numFmtId="2" fontId="82" fillId="0" borderId="12" xfId="0" applyNumberFormat="1" applyFont="1" applyBorder="1" applyAlignment="1">
      <alignment horizontal="left"/>
    </xf>
    <xf numFmtId="0" fontId="80" fillId="0" borderId="0" xfId="0" applyFont="1" applyAlignment="1">
      <alignment horizontal="left"/>
    </xf>
    <xf numFmtId="1" fontId="80" fillId="0" borderId="11" xfId="0" applyNumberFormat="1" applyFont="1" applyBorder="1" applyAlignment="1">
      <alignment horizontal="left" vertical="center"/>
    </xf>
    <xf numFmtId="1" fontId="81" fillId="0" borderId="11" xfId="0" applyNumberFormat="1" applyFont="1" applyBorder="1" applyAlignment="1">
      <alignment horizontal="left" vertical="center"/>
    </xf>
    <xf numFmtId="1" fontId="81" fillId="0" borderId="13" xfId="0" applyNumberFormat="1" applyFont="1" applyBorder="1" applyAlignment="1">
      <alignment horizontal="left" vertical="center"/>
    </xf>
    <xf numFmtId="1" fontId="81" fillId="0" borderId="12" xfId="0" applyNumberFormat="1" applyFont="1" applyBorder="1" applyAlignment="1">
      <alignment horizontal="left" vertical="center"/>
    </xf>
    <xf numFmtId="3" fontId="83" fillId="0" borderId="13" xfId="0" applyNumberFormat="1" applyFont="1" applyBorder="1" applyAlignment="1">
      <alignment horizontal="left"/>
    </xf>
    <xf numFmtId="3" fontId="83" fillId="0" borderId="11" xfId="0" applyNumberFormat="1" applyFont="1" applyBorder="1" applyAlignment="1">
      <alignment horizontal="left"/>
    </xf>
    <xf numFmtId="3" fontId="83" fillId="0" borderId="12" xfId="0" applyNumberFormat="1" applyFont="1" applyBorder="1" applyAlignment="1">
      <alignment horizontal="left"/>
    </xf>
    <xf numFmtId="1" fontId="80" fillId="0" borderId="11" xfId="0" applyNumberFormat="1" applyFont="1" applyBorder="1" applyAlignment="1">
      <alignment horizontal="left"/>
    </xf>
    <xf numFmtId="1" fontId="80" fillId="0" borderId="14" xfId="0" applyNumberFormat="1" applyFont="1" applyBorder="1" applyAlignment="1">
      <alignment horizontal="left"/>
    </xf>
    <xf numFmtId="2" fontId="80" fillId="0" borderId="13" xfId="0" applyNumberFormat="1" applyFont="1" applyBorder="1" applyAlignment="1">
      <alignment horizontal="left"/>
    </xf>
    <xf numFmtId="1" fontId="80" fillId="0" borderId="13" xfId="0" applyNumberFormat="1" applyFont="1" applyBorder="1" applyAlignment="1">
      <alignment horizontal="left"/>
    </xf>
    <xf numFmtId="1" fontId="80" fillId="0" borderId="12" xfId="0" applyNumberFormat="1" applyFont="1" applyBorder="1" applyAlignment="1">
      <alignment horizontal="left"/>
    </xf>
    <xf numFmtId="1" fontId="80" fillId="0" borderId="11" xfId="44" applyNumberFormat="1" applyFont="1" applyBorder="1" applyAlignment="1">
      <alignment horizontal="left"/>
    </xf>
    <xf numFmtId="1" fontId="80" fillId="0" borderId="12" xfId="44" applyNumberFormat="1" applyFont="1" applyBorder="1" applyAlignment="1">
      <alignment horizontal="left"/>
    </xf>
    <xf numFmtId="1" fontId="80" fillId="0" borderId="11" xfId="0" applyNumberFormat="1" applyFont="1" applyFill="1" applyBorder="1" applyAlignment="1">
      <alignment horizontal="left"/>
    </xf>
    <xf numFmtId="1" fontId="80" fillId="0" borderId="12" xfId="0" applyNumberFormat="1" applyFont="1" applyFill="1" applyBorder="1" applyAlignment="1">
      <alignment horizontal="left"/>
    </xf>
    <xf numFmtId="1" fontId="80" fillId="0" borderId="11" xfId="42" applyNumberFormat="1" applyFont="1" applyBorder="1" applyAlignment="1">
      <alignment horizontal="left"/>
    </xf>
    <xf numFmtId="1" fontId="80" fillId="0" borderId="12" xfId="42" applyNumberFormat="1" applyFont="1" applyBorder="1" applyAlignment="1">
      <alignment horizontal="left"/>
    </xf>
    <xf numFmtId="1" fontId="81" fillId="0" borderId="11" xfId="42" applyNumberFormat="1" applyFont="1" applyBorder="1" applyAlignment="1">
      <alignment horizontal="left"/>
    </xf>
    <xf numFmtId="1" fontId="81" fillId="0" borderId="12" xfId="42" applyNumberFormat="1" applyFont="1" applyBorder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1" fontId="81" fillId="0" borderId="11" xfId="0" applyNumberFormat="1" applyFont="1" applyBorder="1" applyAlignment="1">
      <alignment horizontal="left"/>
    </xf>
    <xf numFmtId="1" fontId="81" fillId="0" borderId="10" xfId="0" applyNumberFormat="1" applyFont="1" applyBorder="1" applyAlignment="1">
      <alignment horizontal="left"/>
    </xf>
    <xf numFmtId="2" fontId="81" fillId="0" borderId="13" xfId="0" applyNumberFormat="1" applyFont="1" applyBorder="1" applyAlignment="1">
      <alignment horizontal="left"/>
    </xf>
    <xf numFmtId="1" fontId="81" fillId="0" borderId="13" xfId="0" applyNumberFormat="1" applyFont="1" applyBorder="1" applyAlignment="1">
      <alignment horizontal="left"/>
    </xf>
    <xf numFmtId="1" fontId="81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80" fillId="0" borderId="0" xfId="0" applyNumberFormat="1" applyFont="1" applyAlignment="1">
      <alignment horizontal="left"/>
    </xf>
    <xf numFmtId="1" fontId="81" fillId="0" borderId="15" xfId="0" applyNumberFormat="1" applyFont="1" applyBorder="1" applyAlignment="1">
      <alignment horizontal="left"/>
    </xf>
    <xf numFmtId="2" fontId="81" fillId="0" borderId="11" xfId="0" applyNumberFormat="1" applyFont="1" applyBorder="1" applyAlignment="1">
      <alignment horizontal="left" vertical="center"/>
    </xf>
    <xf numFmtId="1" fontId="80" fillId="0" borderId="15" xfId="44" applyNumberFormat="1" applyFont="1" applyBorder="1" applyAlignment="1">
      <alignment horizontal="left"/>
    </xf>
    <xf numFmtId="2" fontId="80" fillId="0" borderId="15" xfId="0" applyNumberFormat="1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1" fontId="80" fillId="0" borderId="15" xfId="0" applyNumberFormat="1" applyFont="1" applyBorder="1" applyAlignment="1">
      <alignment horizontal="left" vertical="center"/>
    </xf>
    <xf numFmtId="1" fontId="80" fillId="0" borderId="17" xfId="0" applyNumberFormat="1" applyFont="1" applyBorder="1" applyAlignment="1">
      <alignment horizontal="left" vertical="center"/>
    </xf>
    <xf numFmtId="1" fontId="80" fillId="0" borderId="18" xfId="0" applyNumberFormat="1" applyFont="1" applyBorder="1" applyAlignment="1">
      <alignment horizontal="left"/>
    </xf>
    <xf numFmtId="1" fontId="80" fillId="0" borderId="15" xfId="0" applyNumberFormat="1" applyFont="1" applyBorder="1" applyAlignment="1">
      <alignment horizontal="left"/>
    </xf>
    <xf numFmtId="1" fontId="80" fillId="0" borderId="17" xfId="0" applyNumberFormat="1" applyFont="1" applyBorder="1" applyAlignment="1">
      <alignment horizontal="left"/>
    </xf>
    <xf numFmtId="2" fontId="80" fillId="0" borderId="18" xfId="0" applyNumberFormat="1" applyFont="1" applyBorder="1" applyAlignment="1">
      <alignment horizontal="left"/>
    </xf>
    <xf numFmtId="2" fontId="80" fillId="0" borderId="17" xfId="0" applyNumberFormat="1" applyFont="1" applyBorder="1" applyAlignment="1">
      <alignment horizontal="left"/>
    </xf>
    <xf numFmtId="1" fontId="80" fillId="0" borderId="17" xfId="44" applyNumberFormat="1" applyFont="1" applyBorder="1" applyAlignment="1">
      <alignment horizontal="left"/>
    </xf>
    <xf numFmtId="1" fontId="80" fillId="0" borderId="15" xfId="0" applyNumberFormat="1" applyFont="1" applyFill="1" applyBorder="1" applyAlignment="1">
      <alignment horizontal="left"/>
    </xf>
    <xf numFmtId="1" fontId="80" fillId="0" borderId="17" xfId="0" applyNumberFormat="1" applyFont="1" applyFill="1" applyBorder="1" applyAlignment="1">
      <alignment horizontal="left"/>
    </xf>
    <xf numFmtId="1" fontId="80" fillId="0" borderId="15" xfId="42" applyNumberFormat="1" applyFont="1" applyBorder="1" applyAlignment="1">
      <alignment horizontal="left"/>
    </xf>
    <xf numFmtId="1" fontId="80" fillId="0" borderId="17" xfId="42" applyNumberFormat="1" applyFont="1" applyBorder="1" applyAlignment="1">
      <alignment horizontal="left"/>
    </xf>
    <xf numFmtId="1" fontId="81" fillId="0" borderId="18" xfId="0" applyNumberFormat="1" applyFont="1" applyBorder="1" applyAlignment="1">
      <alignment horizontal="left"/>
    </xf>
    <xf numFmtId="1" fontId="81" fillId="0" borderId="19" xfId="0" applyNumberFormat="1" applyFont="1" applyBorder="1" applyAlignment="1">
      <alignment horizontal="left"/>
    </xf>
    <xf numFmtId="2" fontId="80" fillId="0" borderId="0" xfId="0" applyNumberFormat="1" applyFont="1" applyAlignment="1">
      <alignment horizontal="left"/>
    </xf>
    <xf numFmtId="1" fontId="80" fillId="0" borderId="10" xfId="0" applyNumberFormat="1" applyFont="1" applyBorder="1" applyAlignment="1">
      <alignment horizontal="left" vertical="center"/>
    </xf>
    <xf numFmtId="1" fontId="80" fillId="0" borderId="12" xfId="0" applyNumberFormat="1" applyFont="1" applyBorder="1" applyAlignment="1">
      <alignment horizontal="left" vertical="center"/>
    </xf>
    <xf numFmtId="1" fontId="81" fillId="0" borderId="20" xfId="0" applyNumberFormat="1" applyFont="1" applyBorder="1" applyAlignment="1">
      <alignment horizontal="left"/>
    </xf>
    <xf numFmtId="1" fontId="81" fillId="0" borderId="2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80" fillId="0" borderId="20" xfId="0" applyNumberFormat="1" applyFont="1" applyFill="1" applyBorder="1" applyAlignment="1">
      <alignment horizontal="left"/>
    </xf>
    <xf numFmtId="1" fontId="80" fillId="0" borderId="21" xfId="0" applyNumberFormat="1" applyFont="1" applyFill="1" applyBorder="1" applyAlignment="1">
      <alignment horizontal="left"/>
    </xf>
    <xf numFmtId="2" fontId="81" fillId="0" borderId="20" xfId="0" applyNumberFormat="1" applyFont="1" applyBorder="1" applyAlignment="1">
      <alignment horizontal="left"/>
    </xf>
    <xf numFmtId="2" fontId="81" fillId="0" borderId="21" xfId="0" applyNumberFormat="1" applyFont="1" applyBorder="1" applyAlignment="1">
      <alignment horizontal="left"/>
    </xf>
    <xf numFmtId="0" fontId="85" fillId="0" borderId="0" xfId="0" applyFont="1" applyAlignment="1">
      <alignment horizontal="left"/>
    </xf>
    <xf numFmtId="2" fontId="80" fillId="0" borderId="11" xfId="0" applyNumberFormat="1" applyFont="1" applyBorder="1" applyAlignment="1">
      <alignment horizontal="left" vertical="center"/>
    </xf>
    <xf numFmtId="2" fontId="80" fillId="0" borderId="14" xfId="0" applyNumberFormat="1" applyFont="1" applyBorder="1" applyAlignment="1">
      <alignment horizontal="left" vertical="center"/>
    </xf>
    <xf numFmtId="2" fontId="86" fillId="0" borderId="10" xfId="0" applyNumberFormat="1" applyFont="1" applyBorder="1" applyAlignment="1">
      <alignment horizontal="left"/>
    </xf>
    <xf numFmtId="2" fontId="86" fillId="0" borderId="11" xfId="0" applyNumberFormat="1" applyFont="1" applyBorder="1" applyAlignment="1">
      <alignment horizontal="left"/>
    </xf>
    <xf numFmtId="2" fontId="86" fillId="0" borderId="14" xfId="0" applyNumberFormat="1" applyFont="1" applyBorder="1" applyAlignment="1">
      <alignment horizontal="left"/>
    </xf>
    <xf numFmtId="2" fontId="86" fillId="0" borderId="12" xfId="0" applyNumberFormat="1" applyFont="1" applyBorder="1" applyAlignment="1">
      <alignment horizontal="left"/>
    </xf>
    <xf numFmtId="0" fontId="80" fillId="0" borderId="11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2" fontId="86" fillId="0" borderId="13" xfId="0" applyNumberFormat="1" applyFont="1" applyBorder="1" applyAlignment="1">
      <alignment horizontal="left"/>
    </xf>
    <xf numFmtId="2" fontId="86" fillId="0" borderId="12" xfId="0" applyNumberFormat="1" applyFont="1" applyFill="1" applyBorder="1" applyAlignment="1">
      <alignment horizontal="left"/>
    </xf>
    <xf numFmtId="2" fontId="86" fillId="0" borderId="12" xfId="42" applyNumberFormat="1" applyFont="1" applyBorder="1" applyAlignment="1">
      <alignment horizontal="left"/>
    </xf>
    <xf numFmtId="2" fontId="87" fillId="0" borderId="13" xfId="0" applyNumberFormat="1" applyFont="1" applyBorder="1" applyAlignment="1">
      <alignment horizontal="left"/>
    </xf>
    <xf numFmtId="2" fontId="86" fillId="0" borderId="10" xfId="42" applyNumberFormat="1" applyFont="1" applyBorder="1" applyAlignment="1">
      <alignment horizontal="left"/>
    </xf>
    <xf numFmtId="2" fontId="87" fillId="0" borderId="10" xfId="0" applyNumberFormat="1" applyFont="1" applyBorder="1" applyAlignment="1">
      <alignment horizontal="left"/>
    </xf>
    <xf numFmtId="3" fontId="88" fillId="0" borderId="11" xfId="0" applyNumberFormat="1" applyFont="1" applyBorder="1" applyAlignment="1">
      <alignment horizontal="left"/>
    </xf>
    <xf numFmtId="3" fontId="88" fillId="0" borderId="12" xfId="0" applyNumberFormat="1" applyFont="1" applyBorder="1" applyAlignment="1">
      <alignment horizontal="left"/>
    </xf>
    <xf numFmtId="2" fontId="81" fillId="0" borderId="14" xfId="0" applyNumberFormat="1" applyFont="1" applyBorder="1" applyAlignment="1">
      <alignment horizontal="left" vertical="center"/>
    </xf>
    <xf numFmtId="2" fontId="87" fillId="0" borderId="11" xfId="0" applyNumberFormat="1" applyFont="1" applyBorder="1" applyAlignment="1">
      <alignment horizontal="left"/>
    </xf>
    <xf numFmtId="2" fontId="87" fillId="0" borderId="14" xfId="0" applyNumberFormat="1" applyFont="1" applyBorder="1" applyAlignment="1">
      <alignment horizontal="left"/>
    </xf>
    <xf numFmtId="2" fontId="87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82" fillId="0" borderId="11" xfId="0" applyNumberFormat="1" applyFont="1" applyBorder="1" applyAlignment="1">
      <alignment horizontal="left" vertical="center"/>
    </xf>
    <xf numFmtId="2" fontId="85" fillId="0" borderId="0" xfId="0" applyNumberFormat="1" applyFont="1" applyAlignment="1">
      <alignment horizontal="left"/>
    </xf>
    <xf numFmtId="164" fontId="89" fillId="0" borderId="0" xfId="0" applyNumberFormat="1" applyFont="1" applyBorder="1" applyAlignment="1">
      <alignment horizontal="left"/>
    </xf>
    <xf numFmtId="164" fontId="89" fillId="0" borderId="22" xfId="0" applyNumberFormat="1" applyFont="1" applyBorder="1" applyAlignment="1">
      <alignment horizontal="left"/>
    </xf>
    <xf numFmtId="2" fontId="81" fillId="0" borderId="11" xfId="44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22" xfId="0" applyFont="1" applyBorder="1" applyAlignment="1">
      <alignment horizontal="left"/>
    </xf>
    <xf numFmtId="0" fontId="81" fillId="0" borderId="0" xfId="0" applyFont="1" applyAlignment="1">
      <alignment/>
    </xf>
    <xf numFmtId="0" fontId="90" fillId="0" borderId="0" xfId="0" applyFont="1" applyAlignment="1">
      <alignment horizontal="left"/>
    </xf>
    <xf numFmtId="2" fontId="81" fillId="0" borderId="12" xfId="0" applyNumberFormat="1" applyFont="1" applyBorder="1" applyAlignment="1">
      <alignment horizontal="left" vertical="center"/>
    </xf>
    <xf numFmtId="0" fontId="81" fillId="0" borderId="0" xfId="0" applyFont="1" applyAlignment="1">
      <alignment horizontal="left"/>
    </xf>
    <xf numFmtId="2" fontId="81" fillId="0" borderId="14" xfId="0" applyNumberFormat="1" applyFont="1" applyBorder="1" applyAlignment="1">
      <alignment horizontal="left"/>
    </xf>
    <xf numFmtId="2" fontId="81" fillId="0" borderId="11" xfId="0" applyNumberFormat="1" applyFont="1" applyFill="1" applyBorder="1" applyAlignment="1">
      <alignment horizontal="left"/>
    </xf>
    <xf numFmtId="2" fontId="81" fillId="0" borderId="12" xfId="0" applyNumberFormat="1" applyFont="1" applyFill="1" applyBorder="1" applyAlignment="1">
      <alignment horizontal="left"/>
    </xf>
    <xf numFmtId="2" fontId="81" fillId="0" borderId="11" xfId="42" applyNumberFormat="1" applyFont="1" applyBorder="1" applyAlignment="1">
      <alignment horizontal="left"/>
    </xf>
    <xf numFmtId="2" fontId="81" fillId="0" borderId="12" xfId="42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89" fillId="0" borderId="23" xfId="0" applyFont="1" applyBorder="1" applyAlignment="1">
      <alignment horizontal="left"/>
    </xf>
    <xf numFmtId="2" fontId="82" fillId="0" borderId="12" xfId="0" applyNumberFormat="1" applyFont="1" applyBorder="1" applyAlignment="1">
      <alignment horizontal="left" vertical="center"/>
    </xf>
    <xf numFmtId="0" fontId="85" fillId="0" borderId="0" xfId="0" applyFont="1" applyAlignment="1">
      <alignment/>
    </xf>
    <xf numFmtId="0" fontId="88" fillId="0" borderId="24" xfId="0" applyFont="1" applyBorder="1" applyAlignment="1">
      <alignment horizontal="left"/>
    </xf>
    <xf numFmtId="1" fontId="90" fillId="0" borderId="10" xfId="0" applyNumberFormat="1" applyFont="1" applyBorder="1" applyAlignment="1">
      <alignment horizontal="left" vertical="center"/>
    </xf>
    <xf numFmtId="0" fontId="91" fillId="0" borderId="11" xfId="0" applyFont="1" applyBorder="1" applyAlignment="1">
      <alignment horizontal="left"/>
    </xf>
    <xf numFmtId="0" fontId="91" fillId="0" borderId="12" xfId="0" applyFont="1" applyBorder="1" applyAlignment="1">
      <alignment horizontal="left"/>
    </xf>
    <xf numFmtId="0" fontId="91" fillId="0" borderId="0" xfId="0" applyFont="1" applyAlignment="1">
      <alignment horizontal="left"/>
    </xf>
    <xf numFmtId="2" fontId="91" fillId="0" borderId="11" xfId="0" applyNumberFormat="1" applyFont="1" applyBorder="1" applyAlignment="1">
      <alignment horizontal="left" vertical="center"/>
    </xf>
    <xf numFmtId="2" fontId="91" fillId="0" borderId="12" xfId="0" applyNumberFormat="1" applyFont="1" applyBorder="1" applyAlignment="1">
      <alignment horizontal="left" vertical="center"/>
    </xf>
    <xf numFmtId="2" fontId="91" fillId="0" borderId="10" xfId="0" applyNumberFormat="1" applyFont="1" applyBorder="1" applyAlignment="1">
      <alignment horizontal="left"/>
    </xf>
    <xf numFmtId="2" fontId="91" fillId="0" borderId="11" xfId="0" applyNumberFormat="1" applyFont="1" applyBorder="1" applyAlignment="1">
      <alignment horizontal="left"/>
    </xf>
    <xf numFmtId="2" fontId="91" fillId="0" borderId="12" xfId="0" applyNumberFormat="1" applyFont="1" applyBorder="1" applyAlignment="1">
      <alignment horizontal="left"/>
    </xf>
    <xf numFmtId="2" fontId="91" fillId="0" borderId="14" xfId="0" applyNumberFormat="1" applyFont="1" applyBorder="1" applyAlignment="1">
      <alignment horizontal="left"/>
    </xf>
    <xf numFmtId="1" fontId="91" fillId="0" borderId="10" xfId="0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/>
    </xf>
    <xf numFmtId="1" fontId="91" fillId="0" borderId="12" xfId="0" applyNumberFormat="1" applyFont="1" applyBorder="1" applyAlignment="1">
      <alignment horizontal="left"/>
    </xf>
    <xf numFmtId="2" fontId="91" fillId="0" borderId="11" xfId="44" applyNumberFormat="1" applyFont="1" applyBorder="1" applyAlignment="1">
      <alignment horizontal="left"/>
    </xf>
    <xf numFmtId="2" fontId="91" fillId="0" borderId="12" xfId="44" applyNumberFormat="1" applyFont="1" applyBorder="1" applyAlignment="1">
      <alignment horizontal="left"/>
    </xf>
    <xf numFmtId="2" fontId="91" fillId="0" borderId="11" xfId="0" applyNumberFormat="1" applyFont="1" applyFill="1" applyBorder="1" applyAlignment="1">
      <alignment horizontal="left"/>
    </xf>
    <xf numFmtId="2" fontId="91" fillId="0" borderId="11" xfId="42" applyNumberFormat="1" applyFont="1" applyBorder="1" applyAlignment="1">
      <alignment horizontal="left"/>
    </xf>
    <xf numFmtId="2" fontId="91" fillId="0" borderId="12" xfId="42" applyNumberFormat="1" applyFont="1" applyBorder="1" applyAlignment="1">
      <alignment horizontal="left"/>
    </xf>
    <xf numFmtId="2" fontId="90" fillId="0" borderId="25" xfId="0" applyNumberFormat="1" applyFont="1" applyBorder="1" applyAlignment="1">
      <alignment horizontal="left"/>
    </xf>
    <xf numFmtId="2" fontId="90" fillId="0" borderId="26" xfId="0" applyNumberFormat="1" applyFont="1" applyBorder="1" applyAlignment="1">
      <alignment horizontal="left"/>
    </xf>
    <xf numFmtId="2" fontId="90" fillId="0" borderId="11" xfId="0" applyNumberFormat="1" applyFont="1" applyBorder="1" applyAlignment="1">
      <alignment horizontal="left"/>
    </xf>
    <xf numFmtId="1" fontId="91" fillId="0" borderId="11" xfId="0" applyNumberFormat="1" applyFont="1" applyBorder="1" applyAlignment="1">
      <alignment horizontal="left" vertical="center"/>
    </xf>
    <xf numFmtId="1" fontId="91" fillId="0" borderId="12" xfId="0" applyNumberFormat="1" applyFont="1" applyBorder="1" applyAlignment="1">
      <alignment horizontal="left" vertical="center"/>
    </xf>
    <xf numFmtId="1" fontId="91" fillId="0" borderId="14" xfId="0" applyNumberFormat="1" applyFont="1" applyBorder="1" applyAlignment="1">
      <alignment horizontal="left"/>
    </xf>
    <xf numFmtId="1" fontId="91" fillId="0" borderId="0" xfId="0" applyNumberFormat="1" applyFont="1" applyBorder="1" applyAlignment="1">
      <alignment horizontal="left"/>
    </xf>
    <xf numFmtId="1" fontId="91" fillId="0" borderId="22" xfId="0" applyNumberFormat="1" applyFont="1" applyBorder="1" applyAlignment="1">
      <alignment horizontal="left"/>
    </xf>
    <xf numFmtId="1" fontId="91" fillId="0" borderId="11" xfId="44" applyNumberFormat="1" applyFont="1" applyBorder="1" applyAlignment="1">
      <alignment horizontal="left"/>
    </xf>
    <xf numFmtId="1" fontId="91" fillId="0" borderId="12" xfId="44" applyNumberFormat="1" applyFont="1" applyBorder="1" applyAlignment="1">
      <alignment horizontal="left"/>
    </xf>
    <xf numFmtId="1" fontId="91" fillId="0" borderId="11" xfId="0" applyNumberFormat="1" applyFont="1" applyFill="1" applyBorder="1" applyAlignment="1">
      <alignment horizontal="left"/>
    </xf>
    <xf numFmtId="1" fontId="91" fillId="0" borderId="10" xfId="42" applyNumberFormat="1" applyFont="1" applyBorder="1" applyAlignment="1">
      <alignment horizontal="left"/>
    </xf>
    <xf numFmtId="1" fontId="91" fillId="0" borderId="11" xfId="42" applyNumberFormat="1" applyFont="1" applyBorder="1" applyAlignment="1">
      <alignment horizontal="left"/>
    </xf>
    <xf numFmtId="1" fontId="91" fillId="0" borderId="12" xfId="42" applyNumberFormat="1" applyFont="1" applyBorder="1" applyAlignment="1">
      <alignment horizontal="left"/>
    </xf>
    <xf numFmtId="1" fontId="90" fillId="0" borderId="10" xfId="0" applyNumberFormat="1" applyFont="1" applyBorder="1" applyAlignment="1">
      <alignment horizontal="left"/>
    </xf>
    <xf numFmtId="1" fontId="90" fillId="0" borderId="24" xfId="0" applyNumberFormat="1" applyFont="1" applyBorder="1" applyAlignment="1">
      <alignment horizontal="left"/>
    </xf>
    <xf numFmtId="0" fontId="92" fillId="0" borderId="24" xfId="0" applyFont="1" applyBorder="1" applyAlignment="1">
      <alignment horizontal="left"/>
    </xf>
    <xf numFmtId="1" fontId="90" fillId="0" borderId="13" xfId="0" applyNumberFormat="1" applyFont="1" applyBorder="1" applyAlignment="1">
      <alignment horizontal="left" vertical="center"/>
    </xf>
    <xf numFmtId="1" fontId="90" fillId="0" borderId="11" xfId="0" applyNumberFormat="1" applyFont="1" applyBorder="1" applyAlignment="1">
      <alignment horizontal="left"/>
    </xf>
    <xf numFmtId="1" fontId="90" fillId="0" borderId="12" xfId="0" applyNumberFormat="1" applyFont="1" applyBorder="1" applyAlignment="1">
      <alignment horizontal="left"/>
    </xf>
    <xf numFmtId="1" fontId="90" fillId="0" borderId="14" xfId="0" applyNumberFormat="1" applyFont="1" applyBorder="1" applyAlignment="1">
      <alignment horizontal="left"/>
    </xf>
    <xf numFmtId="1" fontId="85" fillId="0" borderId="0" xfId="0" applyNumberFormat="1" applyFont="1" applyAlignment="1">
      <alignment horizontal="left"/>
    </xf>
    <xf numFmtId="1" fontId="91" fillId="0" borderId="13" xfId="0" applyNumberFormat="1" applyFont="1" applyBorder="1" applyAlignment="1">
      <alignment horizontal="left"/>
    </xf>
    <xf numFmtId="1" fontId="91" fillId="0" borderId="14" xfId="0" applyNumberFormat="1" applyFont="1" applyFill="1" applyBorder="1" applyAlignment="1">
      <alignment horizontal="left"/>
    </xf>
    <xf numFmtId="1" fontId="91" fillId="0" borderId="14" xfId="42" applyNumberFormat="1" applyFont="1" applyBorder="1" applyAlignment="1">
      <alignment horizontal="left"/>
    </xf>
    <xf numFmtId="1" fontId="90" fillId="0" borderId="13" xfId="0" applyNumberFormat="1" applyFont="1" applyBorder="1" applyAlignment="1">
      <alignment horizontal="left"/>
    </xf>
    <xf numFmtId="1" fontId="90" fillId="0" borderId="25" xfId="0" applyNumberFormat="1" applyFont="1" applyBorder="1" applyAlignment="1">
      <alignment horizontal="left"/>
    </xf>
    <xf numFmtId="1" fontId="90" fillId="0" borderId="26" xfId="0" applyNumberFormat="1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2" fontId="90" fillId="0" borderId="12" xfId="0" applyNumberFormat="1" applyFont="1" applyBorder="1" applyAlignment="1">
      <alignment horizontal="left" vertical="center"/>
    </xf>
    <xf numFmtId="2" fontId="90" fillId="0" borderId="12" xfId="0" applyNumberFormat="1" applyFont="1" applyBorder="1" applyAlignment="1">
      <alignment horizontal="left"/>
    </xf>
    <xf numFmtId="2" fontId="91" fillId="0" borderId="27" xfId="0" applyNumberFormat="1" applyFont="1" applyBorder="1" applyAlignment="1">
      <alignment horizontal="left" vertical="center"/>
    </xf>
    <xf numFmtId="2" fontId="91" fillId="0" borderId="28" xfId="0" applyNumberFormat="1" applyFont="1" applyBorder="1" applyAlignment="1">
      <alignment horizontal="left"/>
    </xf>
    <xf numFmtId="1" fontId="91" fillId="0" borderId="27" xfId="0" applyNumberFormat="1" applyFont="1" applyBorder="1" applyAlignment="1">
      <alignment horizontal="left"/>
    </xf>
    <xf numFmtId="1" fontId="91" fillId="0" borderId="29" xfId="0" applyNumberFormat="1" applyFont="1" applyBorder="1" applyAlignment="1">
      <alignment horizontal="left"/>
    </xf>
    <xf numFmtId="1" fontId="91" fillId="0" borderId="28" xfId="0" applyNumberFormat="1" applyFont="1" applyBorder="1" applyAlignment="1">
      <alignment horizontal="left"/>
    </xf>
    <xf numFmtId="2" fontId="91" fillId="0" borderId="27" xfId="0" applyNumberFormat="1" applyFont="1" applyBorder="1" applyAlignment="1">
      <alignment horizontal="left"/>
    </xf>
    <xf numFmtId="1" fontId="91" fillId="0" borderId="30" xfId="0" applyNumberFormat="1" applyFont="1" applyBorder="1" applyAlignment="1">
      <alignment horizontal="left"/>
    </xf>
    <xf numFmtId="1" fontId="91" fillId="0" borderId="31" xfId="0" applyNumberFormat="1" applyFont="1" applyBorder="1" applyAlignment="1">
      <alignment horizontal="left"/>
    </xf>
    <xf numFmtId="1" fontId="91" fillId="0" borderId="28" xfId="0" applyNumberFormat="1" applyFont="1" applyFill="1" applyBorder="1" applyAlignment="1">
      <alignment horizontal="left"/>
    </xf>
    <xf numFmtId="1" fontId="91" fillId="0" borderId="31" xfId="0" applyNumberFormat="1" applyFont="1" applyFill="1" applyBorder="1" applyAlignment="1">
      <alignment horizontal="left"/>
    </xf>
    <xf numFmtId="1" fontId="91" fillId="0" borderId="30" xfId="42" applyNumberFormat="1" applyFont="1" applyBorder="1" applyAlignment="1">
      <alignment horizontal="left"/>
    </xf>
    <xf numFmtId="1" fontId="91" fillId="0" borderId="31" xfId="42" applyNumberFormat="1" applyFont="1" applyBorder="1" applyAlignment="1">
      <alignment horizontal="left"/>
    </xf>
    <xf numFmtId="1" fontId="90" fillId="0" borderId="32" xfId="0" applyNumberFormat="1" applyFont="1" applyBorder="1" applyAlignment="1">
      <alignment horizontal="left"/>
    </xf>
    <xf numFmtId="0" fontId="91" fillId="0" borderId="33" xfId="0" applyFont="1" applyBorder="1" applyAlignment="1">
      <alignment horizontal="left"/>
    </xf>
    <xf numFmtId="0" fontId="91" fillId="0" borderId="34" xfId="0" applyFont="1" applyBorder="1" applyAlignment="1">
      <alignment horizontal="left"/>
    </xf>
    <xf numFmtId="1" fontId="91" fillId="0" borderId="34" xfId="0" applyNumberFormat="1" applyFont="1" applyBorder="1" applyAlignment="1">
      <alignment horizontal="left"/>
    </xf>
    <xf numFmtId="1" fontId="91" fillId="0" borderId="33" xfId="0" applyNumberFormat="1" applyFont="1" applyBorder="1" applyAlignment="1">
      <alignment horizontal="left"/>
    </xf>
    <xf numFmtId="1" fontId="90" fillId="0" borderId="35" xfId="0" applyNumberFormat="1" applyFont="1" applyBorder="1" applyAlignment="1">
      <alignment horizontal="left"/>
    </xf>
    <xf numFmtId="1" fontId="90" fillId="0" borderId="34" xfId="0" applyNumberFormat="1" applyFont="1" applyBorder="1" applyAlignment="1">
      <alignment horizontal="left"/>
    </xf>
    <xf numFmtId="0" fontId="91" fillId="0" borderId="22" xfId="0" applyFont="1" applyBorder="1" applyAlignment="1">
      <alignment horizontal="left"/>
    </xf>
    <xf numFmtId="1" fontId="91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78" fillId="0" borderId="0" xfId="0" applyFont="1" applyAlignment="1">
      <alignment/>
    </xf>
    <xf numFmtId="0" fontId="90" fillId="0" borderId="36" xfId="0" applyFont="1" applyBorder="1" applyAlignment="1">
      <alignment horizontal="left" vertical="center"/>
    </xf>
    <xf numFmtId="0" fontId="90" fillId="0" borderId="15" xfId="0" applyFont="1" applyBorder="1" applyAlignment="1">
      <alignment horizontal="left" vertical="center"/>
    </xf>
    <xf numFmtId="0" fontId="90" fillId="0" borderId="17" xfId="0" applyFont="1" applyBorder="1" applyAlignment="1">
      <alignment horizontal="left" vertical="center"/>
    </xf>
    <xf numFmtId="1" fontId="90" fillId="0" borderId="17" xfId="0" applyNumberFormat="1" applyFont="1" applyBorder="1" applyAlignment="1">
      <alignment horizontal="left" vertical="center"/>
    </xf>
    <xf numFmtId="1" fontId="90" fillId="0" borderId="18" xfId="0" applyNumberFormat="1" applyFont="1" applyBorder="1" applyAlignment="1">
      <alignment horizontal="left" vertical="center"/>
    </xf>
    <xf numFmtId="1" fontId="90" fillId="0" borderId="15" xfId="0" applyNumberFormat="1" applyFont="1" applyBorder="1" applyAlignment="1">
      <alignment horizontal="left" vertical="center"/>
    </xf>
    <xf numFmtId="0" fontId="90" fillId="0" borderId="37" xfId="0" applyFont="1" applyBorder="1" applyAlignment="1">
      <alignment horizontal="left" vertical="center"/>
    </xf>
    <xf numFmtId="1" fontId="90" fillId="0" borderId="36" xfId="0" applyNumberFormat="1" applyFont="1" applyBorder="1" applyAlignment="1">
      <alignment horizontal="left" vertical="center"/>
    </xf>
    <xf numFmtId="1" fontId="90" fillId="0" borderId="37" xfId="0" applyNumberFormat="1" applyFont="1" applyBorder="1" applyAlignment="1">
      <alignment horizontal="left" vertical="center"/>
    </xf>
    <xf numFmtId="1" fontId="91" fillId="0" borderId="15" xfId="0" applyNumberFormat="1" applyFont="1" applyBorder="1" applyAlignment="1">
      <alignment horizontal="left"/>
    </xf>
    <xf numFmtId="1" fontId="91" fillId="0" borderId="17" xfId="0" applyNumberFormat="1" applyFont="1" applyBorder="1" applyAlignment="1">
      <alignment horizontal="left"/>
    </xf>
    <xf numFmtId="1" fontId="91" fillId="0" borderId="0" xfId="0" applyNumberFormat="1" applyFont="1" applyAlignment="1">
      <alignment/>
    </xf>
    <xf numFmtId="1" fontId="88" fillId="0" borderId="14" xfId="0" applyNumberFormat="1" applyFont="1" applyBorder="1" applyAlignment="1">
      <alignment horizontal="left"/>
    </xf>
    <xf numFmtId="1" fontId="92" fillId="0" borderId="14" xfId="0" applyNumberFormat="1" applyFont="1" applyBorder="1" applyAlignment="1">
      <alignment horizontal="left"/>
    </xf>
    <xf numFmtId="1" fontId="86" fillId="0" borderId="10" xfId="0" applyNumberFormat="1" applyFont="1" applyBorder="1" applyAlignment="1">
      <alignment horizontal="left" vertical="center"/>
    </xf>
    <xf numFmtId="1" fontId="86" fillId="0" borderId="11" xfId="0" applyNumberFormat="1" applyFont="1" applyBorder="1" applyAlignment="1">
      <alignment horizontal="left" vertical="center"/>
    </xf>
    <xf numFmtId="1" fontId="86" fillId="0" borderId="13" xfId="0" applyNumberFormat="1" applyFont="1" applyBorder="1" applyAlignment="1">
      <alignment horizontal="left"/>
    </xf>
    <xf numFmtId="1" fontId="86" fillId="0" borderId="11" xfId="0" applyNumberFormat="1" applyFont="1" applyBorder="1" applyAlignment="1">
      <alignment horizontal="left"/>
    </xf>
    <xf numFmtId="1" fontId="86" fillId="0" borderId="12" xfId="0" applyNumberFormat="1" applyFont="1" applyBorder="1" applyAlignment="1">
      <alignment horizontal="left"/>
    </xf>
    <xf numFmtId="1" fontId="86" fillId="0" borderId="11" xfId="44" applyNumberFormat="1" applyFont="1" applyBorder="1" applyAlignment="1">
      <alignment horizontal="left"/>
    </xf>
    <xf numFmtId="1" fontId="86" fillId="0" borderId="13" xfId="0" applyNumberFormat="1" applyFont="1" applyBorder="1" applyAlignment="1">
      <alignment horizontal="left" wrapText="1"/>
    </xf>
    <xf numFmtId="1" fontId="92" fillId="0" borderId="11" xfId="0" applyNumberFormat="1" applyFont="1" applyBorder="1" applyAlignment="1">
      <alignment horizontal="left"/>
    </xf>
    <xf numFmtId="1" fontId="86" fillId="0" borderId="12" xfId="0" applyNumberFormat="1" applyFont="1" applyFill="1" applyBorder="1" applyAlignment="1">
      <alignment horizontal="left"/>
    </xf>
    <xf numFmtId="1" fontId="86" fillId="0" borderId="11" xfId="42" applyNumberFormat="1" applyFont="1" applyBorder="1" applyAlignment="1">
      <alignment horizontal="left"/>
    </xf>
    <xf numFmtId="1" fontId="86" fillId="0" borderId="12" xfId="42" applyNumberFormat="1" applyFont="1" applyBorder="1" applyAlignment="1">
      <alignment horizontal="left"/>
    </xf>
    <xf numFmtId="1" fontId="86" fillId="0" borderId="10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left"/>
    </xf>
    <xf numFmtId="1" fontId="87" fillId="0" borderId="12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85" fillId="0" borderId="13" xfId="0" applyNumberFormat="1" applyFont="1" applyBorder="1" applyAlignment="1">
      <alignment horizontal="left"/>
    </xf>
    <xf numFmtId="1" fontId="85" fillId="0" borderId="11" xfId="0" applyNumberFormat="1" applyFont="1" applyBorder="1" applyAlignment="1">
      <alignment horizontal="left"/>
    </xf>
    <xf numFmtId="1" fontId="85" fillId="0" borderId="12" xfId="0" applyNumberFormat="1" applyFont="1" applyBorder="1" applyAlignment="1">
      <alignment horizontal="left"/>
    </xf>
    <xf numFmtId="1" fontId="86" fillId="0" borderId="30" xfId="0" applyNumberFormat="1" applyFont="1" applyBorder="1" applyAlignment="1">
      <alignment horizontal="left"/>
    </xf>
    <xf numFmtId="1" fontId="83" fillId="0" borderId="17" xfId="0" applyNumberFormat="1" applyFont="1" applyBorder="1" applyAlignment="1">
      <alignment horizontal="left"/>
    </xf>
    <xf numFmtId="1" fontId="81" fillId="0" borderId="17" xfId="0" applyNumberFormat="1" applyFont="1" applyBorder="1" applyAlignment="1">
      <alignment horizontal="left"/>
    </xf>
    <xf numFmtId="1" fontId="85" fillId="0" borderId="0" xfId="0" applyNumberFormat="1" applyFont="1" applyAlignment="1">
      <alignment/>
    </xf>
    <xf numFmtId="1" fontId="83" fillId="0" borderId="15" xfId="0" applyNumberFormat="1" applyFont="1" applyBorder="1" applyAlignment="1">
      <alignment horizontal="left"/>
    </xf>
    <xf numFmtId="1" fontId="81" fillId="0" borderId="25" xfId="0" applyNumberFormat="1" applyFont="1" applyBorder="1" applyAlignment="1">
      <alignment horizontal="left" vertical="center"/>
    </xf>
    <xf numFmtId="1" fontId="80" fillId="0" borderId="25" xfId="0" applyNumberFormat="1" applyFont="1" applyBorder="1" applyAlignment="1">
      <alignment horizontal="left" vertical="center"/>
    </xf>
    <xf numFmtId="1" fontId="80" fillId="0" borderId="10" xfId="42" applyNumberFormat="1" applyFont="1" applyBorder="1" applyAlignment="1">
      <alignment horizontal="left"/>
    </xf>
    <xf numFmtId="1" fontId="6" fillId="0" borderId="11" xfId="44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left"/>
    </xf>
    <xf numFmtId="1" fontId="6" fillId="0" borderId="11" xfId="42" applyNumberFormat="1" applyFont="1" applyBorder="1" applyAlignment="1">
      <alignment horizontal="left"/>
    </xf>
    <xf numFmtId="2" fontId="80" fillId="0" borderId="11" xfId="42" applyNumberFormat="1" applyFont="1" applyBorder="1" applyAlignment="1">
      <alignment horizontal="left"/>
    </xf>
    <xf numFmtId="2" fontId="80" fillId="0" borderId="25" xfId="0" applyNumberFormat="1" applyFont="1" applyBorder="1" applyAlignment="1">
      <alignment horizontal="left" vertical="center"/>
    </xf>
    <xf numFmtId="165" fontId="80" fillId="0" borderId="11" xfId="44" applyNumberFormat="1" applyFont="1" applyBorder="1" applyAlignment="1">
      <alignment horizontal="left"/>
    </xf>
    <xf numFmtId="1" fontId="80" fillId="0" borderId="0" xfId="0" applyNumberFormat="1" applyFont="1" applyFill="1" applyAlignment="1">
      <alignment horizontal="left"/>
    </xf>
    <xf numFmtId="1" fontId="80" fillId="0" borderId="0" xfId="0" applyNumberFormat="1" applyFont="1" applyAlignment="1">
      <alignment/>
    </xf>
    <xf numFmtId="1" fontId="6" fillId="0" borderId="12" xfId="44" applyNumberFormat="1" applyFont="1" applyBorder="1" applyAlignment="1">
      <alignment horizontal="left"/>
    </xf>
    <xf numFmtId="1" fontId="80" fillId="0" borderId="20" xfId="0" applyNumberFormat="1" applyFont="1" applyBorder="1" applyAlignment="1">
      <alignment horizontal="left"/>
    </xf>
    <xf numFmtId="1" fontId="80" fillId="0" borderId="21" xfId="0" applyNumberFormat="1" applyFont="1" applyBorder="1" applyAlignment="1">
      <alignment horizontal="left"/>
    </xf>
    <xf numFmtId="0" fontId="90" fillId="0" borderId="38" xfId="0" applyFont="1" applyBorder="1" applyAlignment="1">
      <alignment horizontal="left" vertical="center"/>
    </xf>
    <xf numFmtId="0" fontId="90" fillId="0" borderId="39" xfId="0" applyFont="1" applyBorder="1" applyAlignment="1">
      <alignment horizontal="left" vertical="center"/>
    </xf>
    <xf numFmtId="1" fontId="88" fillId="0" borderId="11" xfId="0" applyNumberFormat="1" applyFont="1" applyBorder="1" applyAlignment="1">
      <alignment horizontal="left"/>
    </xf>
    <xf numFmtId="1" fontId="88" fillId="0" borderId="40" xfId="0" applyNumberFormat="1" applyFont="1" applyBorder="1" applyAlignment="1">
      <alignment horizontal="left"/>
    </xf>
    <xf numFmtId="1" fontId="88" fillId="0" borderId="10" xfId="0" applyNumberFormat="1" applyFont="1" applyBorder="1" applyAlignment="1">
      <alignment horizontal="left"/>
    </xf>
    <xf numFmtId="1" fontId="91" fillId="0" borderId="41" xfId="0" applyNumberFormat="1" applyFont="1" applyBorder="1" applyAlignment="1">
      <alignment horizontal="left"/>
    </xf>
    <xf numFmtId="0" fontId="88" fillId="0" borderId="42" xfId="0" applyFont="1" applyBorder="1" applyAlignment="1">
      <alignment horizontal="left"/>
    </xf>
    <xf numFmtId="2" fontId="87" fillId="0" borderId="24" xfId="0" applyNumberFormat="1" applyFont="1" applyBorder="1" applyAlignment="1">
      <alignment horizontal="left"/>
    </xf>
    <xf numFmtId="0" fontId="88" fillId="0" borderId="43" xfId="0" applyFont="1" applyBorder="1" applyAlignment="1">
      <alignment horizontal="left"/>
    </xf>
    <xf numFmtId="2" fontId="86" fillId="0" borderId="30" xfId="0" applyNumberFormat="1" applyFont="1" applyBorder="1" applyAlignment="1">
      <alignment horizontal="left"/>
    </xf>
    <xf numFmtId="2" fontId="86" fillId="0" borderId="28" xfId="0" applyNumberFormat="1" applyFont="1" applyBorder="1" applyAlignment="1">
      <alignment horizontal="left"/>
    </xf>
    <xf numFmtId="2" fontId="86" fillId="0" borderId="31" xfId="0" applyNumberFormat="1" applyFont="1" applyBorder="1" applyAlignment="1">
      <alignment horizontal="left"/>
    </xf>
    <xf numFmtId="2" fontId="86" fillId="0" borderId="27" xfId="0" applyNumberFormat="1" applyFont="1" applyBorder="1" applyAlignment="1">
      <alignment horizontal="left"/>
    </xf>
    <xf numFmtId="2" fontId="86" fillId="0" borderId="29" xfId="0" applyNumberFormat="1" applyFont="1" applyBorder="1" applyAlignment="1">
      <alignment horizontal="left"/>
    </xf>
    <xf numFmtId="2" fontId="86" fillId="0" borderId="27" xfId="0" applyNumberFormat="1" applyFont="1" applyFill="1" applyBorder="1" applyAlignment="1">
      <alignment horizontal="left"/>
    </xf>
    <xf numFmtId="2" fontId="86" fillId="0" borderId="27" xfId="42" applyNumberFormat="1" applyFont="1" applyBorder="1" applyAlignment="1">
      <alignment horizontal="left"/>
    </xf>
    <xf numFmtId="2" fontId="87" fillId="0" borderId="29" xfId="0" applyNumberFormat="1" applyFont="1" applyBorder="1" applyAlignment="1">
      <alignment horizontal="left"/>
    </xf>
    <xf numFmtId="2" fontId="86" fillId="0" borderId="30" xfId="42" applyNumberFormat="1" applyFont="1" applyBorder="1" applyAlignment="1">
      <alignment horizontal="left"/>
    </xf>
    <xf numFmtId="2" fontId="87" fillId="0" borderId="30" xfId="0" applyNumberFormat="1" applyFont="1" applyBorder="1" applyAlignment="1">
      <alignment horizontal="left"/>
    </xf>
    <xf numFmtId="2" fontId="87" fillId="0" borderId="43" xfId="0" applyNumberFormat="1" applyFont="1" applyBorder="1" applyAlignment="1">
      <alignment horizontal="left"/>
    </xf>
    <xf numFmtId="2" fontId="86" fillId="0" borderId="44" xfId="0" applyNumberFormat="1" applyFont="1" applyBorder="1" applyAlignment="1">
      <alignment horizontal="left"/>
    </xf>
    <xf numFmtId="2" fontId="86" fillId="0" borderId="45" xfId="0" applyNumberFormat="1" applyFont="1" applyBorder="1" applyAlignment="1">
      <alignment horizontal="left"/>
    </xf>
    <xf numFmtId="2" fontId="86" fillId="0" borderId="46" xfId="0" applyNumberFormat="1" applyFont="1" applyBorder="1" applyAlignment="1">
      <alignment horizontal="left"/>
    </xf>
    <xf numFmtId="2" fontId="86" fillId="0" borderId="47" xfId="0" applyNumberFormat="1" applyFont="1" applyBorder="1" applyAlignment="1">
      <alignment horizontal="left"/>
    </xf>
    <xf numFmtId="2" fontId="86" fillId="0" borderId="48" xfId="0" applyNumberFormat="1" applyFont="1" applyBorder="1" applyAlignment="1">
      <alignment horizontal="left"/>
    </xf>
    <xf numFmtId="2" fontId="86" fillId="0" borderId="47" xfId="0" applyNumberFormat="1" applyFont="1" applyFill="1" applyBorder="1" applyAlignment="1">
      <alignment horizontal="left"/>
    </xf>
    <xf numFmtId="2" fontId="86" fillId="0" borderId="47" xfId="42" applyNumberFormat="1" applyFont="1" applyBorder="1" applyAlignment="1">
      <alignment horizontal="left"/>
    </xf>
    <xf numFmtId="2" fontId="87" fillId="0" borderId="48" xfId="0" applyNumberFormat="1" applyFont="1" applyBorder="1" applyAlignment="1">
      <alignment horizontal="left"/>
    </xf>
    <xf numFmtId="2" fontId="86" fillId="0" borderId="44" xfId="42" applyNumberFormat="1" applyFont="1" applyBorder="1" applyAlignment="1">
      <alignment horizontal="left"/>
    </xf>
    <xf numFmtId="2" fontId="87" fillId="0" borderId="44" xfId="0" applyNumberFormat="1" applyFont="1" applyBorder="1" applyAlignment="1">
      <alignment horizontal="left"/>
    </xf>
    <xf numFmtId="2" fontId="87" fillId="0" borderId="49" xfId="0" applyNumberFormat="1" applyFont="1" applyBorder="1" applyAlignment="1">
      <alignment horizontal="left"/>
    </xf>
    <xf numFmtId="2" fontId="80" fillId="0" borderId="28" xfId="0" applyNumberFormat="1" applyFont="1" applyBorder="1" applyAlignment="1">
      <alignment horizontal="left" vertical="center"/>
    </xf>
    <xf numFmtId="2" fontId="80" fillId="0" borderId="31" xfId="0" applyNumberFormat="1" applyFont="1" applyBorder="1" applyAlignment="1">
      <alignment horizontal="left" vertical="center"/>
    </xf>
    <xf numFmtId="2" fontId="80" fillId="0" borderId="30" xfId="0" applyNumberFormat="1" applyFont="1" applyBorder="1" applyAlignment="1">
      <alignment horizontal="left"/>
    </xf>
    <xf numFmtId="0" fontId="80" fillId="0" borderId="28" xfId="0" applyFont="1" applyBorder="1" applyAlignment="1">
      <alignment horizontal="left"/>
    </xf>
    <xf numFmtId="0" fontId="80" fillId="0" borderId="27" xfId="0" applyFont="1" applyBorder="1" applyAlignment="1">
      <alignment horizontal="left"/>
    </xf>
    <xf numFmtId="2" fontId="80" fillId="0" borderId="29" xfId="0" applyNumberFormat="1" applyFont="1" applyBorder="1" applyAlignment="1">
      <alignment horizontal="left"/>
    </xf>
    <xf numFmtId="2" fontId="80" fillId="0" borderId="28" xfId="0" applyNumberFormat="1" applyFont="1" applyBorder="1" applyAlignment="1">
      <alignment horizontal="left"/>
    </xf>
    <xf numFmtId="2" fontId="80" fillId="0" borderId="27" xfId="0" applyNumberFormat="1" applyFont="1" applyBorder="1" applyAlignment="1">
      <alignment horizontal="left"/>
    </xf>
    <xf numFmtId="0" fontId="91" fillId="0" borderId="49" xfId="0" applyFont="1" applyBorder="1" applyAlignment="1">
      <alignment horizontal="left"/>
    </xf>
    <xf numFmtId="2" fontId="81" fillId="0" borderId="45" xfId="0" applyNumberFormat="1" applyFont="1" applyBorder="1" applyAlignment="1">
      <alignment horizontal="left" vertical="center"/>
    </xf>
    <xf numFmtId="2" fontId="81" fillId="0" borderId="46" xfId="0" applyNumberFormat="1" applyFont="1" applyBorder="1" applyAlignment="1">
      <alignment horizontal="left" vertical="center"/>
    </xf>
    <xf numFmtId="2" fontId="81" fillId="0" borderId="44" xfId="0" applyNumberFormat="1" applyFont="1" applyBorder="1" applyAlignment="1">
      <alignment horizontal="left"/>
    </xf>
    <xf numFmtId="0" fontId="81" fillId="0" borderId="45" xfId="0" applyFont="1" applyBorder="1" applyAlignment="1">
      <alignment horizontal="left"/>
    </xf>
    <xf numFmtId="0" fontId="81" fillId="0" borderId="47" xfId="0" applyFont="1" applyBorder="1" applyAlignment="1">
      <alignment horizontal="left"/>
    </xf>
    <xf numFmtId="2" fontId="81" fillId="0" borderId="48" xfId="0" applyNumberFormat="1" applyFont="1" applyBorder="1" applyAlignment="1">
      <alignment horizontal="left"/>
    </xf>
    <xf numFmtId="2" fontId="81" fillId="0" borderId="45" xfId="0" applyNumberFormat="1" applyFont="1" applyBorder="1" applyAlignment="1">
      <alignment horizontal="left"/>
    </xf>
    <xf numFmtId="2" fontId="81" fillId="0" borderId="47" xfId="0" applyNumberFormat="1" applyFont="1" applyBorder="1" applyAlignment="1">
      <alignment horizontal="left"/>
    </xf>
    <xf numFmtId="0" fontId="91" fillId="0" borderId="47" xfId="0" applyFont="1" applyBorder="1" applyAlignment="1">
      <alignment horizontal="left"/>
    </xf>
    <xf numFmtId="1" fontId="85" fillId="0" borderId="0" xfId="0" applyNumberFormat="1" applyFont="1" applyFill="1" applyAlignment="1">
      <alignment horizontal="left"/>
    </xf>
    <xf numFmtId="1" fontId="83" fillId="0" borderId="24" xfId="0" applyNumberFormat="1" applyFont="1" applyFill="1" applyBorder="1" applyAlignment="1">
      <alignment horizontal="left" vertical="center" wrapText="1"/>
    </xf>
    <xf numFmtId="1" fontId="83" fillId="0" borderId="24" xfId="0" applyNumberFormat="1" applyFont="1" applyFill="1" applyBorder="1" applyAlignment="1">
      <alignment horizontal="left" vertical="top" wrapText="1"/>
    </xf>
    <xf numFmtId="1" fontId="3" fillId="0" borderId="24" xfId="0" applyNumberFormat="1" applyFont="1" applyFill="1" applyBorder="1" applyAlignment="1">
      <alignment horizontal="left" vertical="top" wrapText="1"/>
    </xf>
    <xf numFmtId="1" fontId="6" fillId="0" borderId="24" xfId="0" applyNumberFormat="1" applyFont="1" applyFill="1" applyBorder="1" applyAlignment="1">
      <alignment horizontal="left" vertical="top" wrapText="1"/>
    </xf>
    <xf numFmtId="1" fontId="6" fillId="0" borderId="50" xfId="0" applyNumberFormat="1" applyFont="1" applyFill="1" applyBorder="1" applyAlignment="1">
      <alignment horizontal="left" vertical="top" wrapText="1"/>
    </xf>
    <xf numFmtId="1" fontId="80" fillId="0" borderId="11" xfId="0" applyNumberFormat="1" applyFont="1" applyFill="1" applyBorder="1" applyAlignment="1">
      <alignment horizontal="left" wrapText="1"/>
    </xf>
    <xf numFmtId="1" fontId="80" fillId="0" borderId="11" xfId="0" applyNumberFormat="1" applyFont="1" applyFill="1" applyBorder="1" applyAlignment="1">
      <alignment horizontal="left" vertical="top" shrinkToFit="1"/>
    </xf>
    <xf numFmtId="1" fontId="80" fillId="0" borderId="11" xfId="0" applyNumberFormat="1" applyFont="1" applyFill="1" applyBorder="1" applyAlignment="1">
      <alignment horizontal="left" vertical="top" wrapText="1"/>
    </xf>
    <xf numFmtId="1" fontId="81" fillId="0" borderId="11" xfId="0" applyNumberFormat="1" applyFont="1" applyFill="1" applyBorder="1" applyAlignment="1">
      <alignment horizontal="left" vertical="top" shrinkToFit="1"/>
    </xf>
    <xf numFmtId="1" fontId="80" fillId="0" borderId="12" xfId="0" applyNumberFormat="1" applyFont="1" applyFill="1" applyBorder="1" applyAlignment="1">
      <alignment horizontal="left" wrapText="1"/>
    </xf>
    <xf numFmtId="1" fontId="80" fillId="0" borderId="12" xfId="0" applyNumberFormat="1" applyFont="1" applyFill="1" applyBorder="1" applyAlignment="1">
      <alignment horizontal="left" vertical="top" shrinkToFit="1"/>
    </xf>
    <xf numFmtId="1" fontId="80" fillId="0" borderId="12" xfId="0" applyNumberFormat="1" applyFont="1" applyFill="1" applyBorder="1" applyAlignment="1">
      <alignment horizontal="left" vertical="top" wrapText="1"/>
    </xf>
    <xf numFmtId="1" fontId="81" fillId="0" borderId="12" xfId="0" applyNumberFormat="1" applyFont="1" applyFill="1" applyBorder="1" applyAlignment="1">
      <alignment horizontal="left" vertical="top" shrinkToFit="1"/>
    </xf>
    <xf numFmtId="1" fontId="81" fillId="0" borderId="20" xfId="0" applyNumberFormat="1" applyFont="1" applyFill="1" applyBorder="1" applyAlignment="1">
      <alignment horizontal="left" vertical="top" shrinkToFit="1"/>
    </xf>
    <xf numFmtId="1" fontId="81" fillId="0" borderId="21" xfId="0" applyNumberFormat="1" applyFont="1" applyFill="1" applyBorder="1" applyAlignment="1">
      <alignment horizontal="left" vertical="top" shrinkToFit="1"/>
    </xf>
    <xf numFmtId="1" fontId="6" fillId="0" borderId="12" xfId="0" applyNumberFormat="1" applyFont="1" applyFill="1" applyBorder="1" applyAlignment="1">
      <alignment horizontal="left"/>
    </xf>
    <xf numFmtId="2" fontId="80" fillId="0" borderId="12" xfId="42" applyNumberFormat="1" applyFont="1" applyBorder="1" applyAlignment="1">
      <alignment horizontal="left"/>
    </xf>
    <xf numFmtId="1" fontId="80" fillId="0" borderId="0" xfId="0" applyNumberFormat="1" applyFont="1" applyBorder="1" applyAlignment="1">
      <alignment horizontal="left"/>
    </xf>
    <xf numFmtId="2" fontId="80" fillId="0" borderId="20" xfId="42" applyNumberFormat="1" applyFont="1" applyBorder="1" applyAlignment="1">
      <alignment horizontal="left"/>
    </xf>
    <xf numFmtId="2" fontId="81" fillId="0" borderId="38" xfId="0" applyNumberFormat="1" applyFont="1" applyBorder="1" applyAlignment="1">
      <alignment horizontal="left"/>
    </xf>
    <xf numFmtId="2" fontId="80" fillId="0" borderId="38" xfId="0" applyNumberFormat="1" applyFont="1" applyBorder="1" applyAlignment="1">
      <alignment horizontal="left"/>
    </xf>
    <xf numFmtId="2" fontId="80" fillId="0" borderId="39" xfId="0" applyNumberFormat="1" applyFont="1" applyBorder="1" applyAlignment="1">
      <alignment horizontal="left"/>
    </xf>
    <xf numFmtId="2" fontId="81" fillId="0" borderId="36" xfId="0" applyNumberFormat="1" applyFont="1" applyBorder="1" applyAlignment="1">
      <alignment horizontal="left" vertical="center"/>
    </xf>
    <xf numFmtId="2" fontId="81" fillId="0" borderId="15" xfId="0" applyNumberFormat="1" applyFont="1" applyBorder="1" applyAlignment="1">
      <alignment horizontal="left" vertical="center"/>
    </xf>
    <xf numFmtId="2" fontId="81" fillId="0" borderId="17" xfId="0" applyNumberFormat="1" applyFont="1" applyBorder="1" applyAlignment="1">
      <alignment horizontal="left" vertical="center"/>
    </xf>
    <xf numFmtId="0" fontId="81" fillId="0" borderId="36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7" xfId="0" applyFont="1" applyBorder="1" applyAlignment="1">
      <alignment horizontal="left" vertical="center"/>
    </xf>
    <xf numFmtId="0" fontId="81" fillId="0" borderId="37" xfId="0" applyFont="1" applyBorder="1" applyAlignment="1">
      <alignment horizontal="left" vertical="center"/>
    </xf>
    <xf numFmtId="0" fontId="81" fillId="0" borderId="18" xfId="0" applyFont="1" applyBorder="1" applyAlignment="1">
      <alignment horizontal="left" vertical="center"/>
    </xf>
    <xf numFmtId="0" fontId="89" fillId="0" borderId="42" xfId="0" applyFont="1" applyBorder="1" applyAlignment="1">
      <alignment horizontal="left"/>
    </xf>
    <xf numFmtId="0" fontId="89" fillId="0" borderId="24" xfId="0" applyFont="1" applyBorder="1" applyAlignment="1">
      <alignment horizontal="left"/>
    </xf>
    <xf numFmtId="1" fontId="81" fillId="0" borderId="51" xfId="0" applyNumberFormat="1" applyFont="1" applyBorder="1" applyAlignment="1">
      <alignment horizontal="center" vertical="center"/>
    </xf>
    <xf numFmtId="0" fontId="93" fillId="0" borderId="52" xfId="0" applyFont="1" applyBorder="1" applyAlignment="1">
      <alignment horizontal="left"/>
    </xf>
    <xf numFmtId="0" fontId="94" fillId="0" borderId="52" xfId="0" applyFont="1" applyBorder="1" applyAlignment="1">
      <alignment horizontal="left"/>
    </xf>
    <xf numFmtId="0" fontId="93" fillId="0" borderId="53" xfId="0" applyFont="1" applyBorder="1" applyAlignment="1">
      <alignment horizontal="left"/>
    </xf>
    <xf numFmtId="0" fontId="93" fillId="0" borderId="54" xfId="0" applyFont="1" applyBorder="1" applyAlignment="1">
      <alignment horizontal="left"/>
    </xf>
    <xf numFmtId="1" fontId="81" fillId="0" borderId="26" xfId="0" applyNumberFormat="1" applyFont="1" applyBorder="1" applyAlignment="1">
      <alignment horizontal="left" vertical="center"/>
    </xf>
    <xf numFmtId="1" fontId="80" fillId="0" borderId="26" xfId="0" applyNumberFormat="1" applyFont="1" applyBorder="1" applyAlignment="1">
      <alignment horizontal="left" vertical="center"/>
    </xf>
    <xf numFmtId="2" fontId="80" fillId="0" borderId="26" xfId="0" applyNumberFormat="1" applyFont="1" applyBorder="1" applyAlignment="1">
      <alignment horizontal="left" vertical="center"/>
    </xf>
    <xf numFmtId="1" fontId="81" fillId="0" borderId="55" xfId="0" applyNumberFormat="1" applyFont="1" applyBorder="1" applyAlignment="1">
      <alignment horizontal="left" vertical="center"/>
    </xf>
    <xf numFmtId="1" fontId="81" fillId="0" borderId="56" xfId="0" applyNumberFormat="1" applyFont="1" applyBorder="1" applyAlignment="1">
      <alignment horizontal="left" vertical="center"/>
    </xf>
    <xf numFmtId="1" fontId="80" fillId="0" borderId="26" xfId="0" applyNumberFormat="1" applyFont="1" applyBorder="1" applyAlignment="1">
      <alignment horizontal="left"/>
    </xf>
    <xf numFmtId="165" fontId="80" fillId="0" borderId="12" xfId="44" applyNumberFormat="1" applyFont="1" applyBorder="1" applyAlignment="1">
      <alignment horizontal="left"/>
    </xf>
    <xf numFmtId="1" fontId="80" fillId="0" borderId="20" xfId="44" applyNumberFormat="1" applyFont="1" applyBorder="1" applyAlignment="1">
      <alignment horizontal="left"/>
    </xf>
    <xf numFmtId="1" fontId="80" fillId="0" borderId="21" xfId="44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2" fontId="83" fillId="0" borderId="42" xfId="0" applyNumberFormat="1" applyFont="1" applyFill="1" applyBorder="1" applyAlignment="1">
      <alignment horizontal="left" vertical="center" wrapText="1"/>
    </xf>
    <xf numFmtId="2" fontId="80" fillId="0" borderId="57" xfId="0" applyNumberFormat="1" applyFont="1" applyBorder="1" applyAlignment="1">
      <alignment horizontal="left"/>
    </xf>
    <xf numFmtId="2" fontId="80" fillId="0" borderId="58" xfId="0" applyNumberFormat="1" applyFont="1" applyBorder="1" applyAlignment="1">
      <alignment horizontal="left"/>
    </xf>
    <xf numFmtId="2" fontId="80" fillId="0" borderId="59" xfId="0" applyNumberFormat="1" applyFont="1" applyBorder="1" applyAlignment="1">
      <alignment horizontal="left"/>
    </xf>
    <xf numFmtId="2" fontId="80" fillId="0" borderId="38" xfId="44" applyNumberFormat="1" applyFont="1" applyBorder="1" applyAlignment="1">
      <alignment horizontal="left"/>
    </xf>
    <xf numFmtId="2" fontId="80" fillId="0" borderId="39" xfId="44" applyNumberFormat="1" applyFont="1" applyBorder="1" applyAlignment="1">
      <alignment horizontal="left"/>
    </xf>
    <xf numFmtId="2" fontId="80" fillId="0" borderId="38" xfId="0" applyNumberFormat="1" applyFont="1" applyFill="1" applyBorder="1" applyAlignment="1">
      <alignment horizontal="left" vertical="center" wrapText="1"/>
    </xf>
    <xf numFmtId="2" fontId="80" fillId="0" borderId="39" xfId="0" applyNumberFormat="1" applyFont="1" applyFill="1" applyBorder="1" applyAlignment="1">
      <alignment horizontal="left" vertical="center" wrapText="1"/>
    </xf>
    <xf numFmtId="2" fontId="80" fillId="0" borderId="38" xfId="0" applyNumberFormat="1" applyFont="1" applyFill="1" applyBorder="1" applyAlignment="1">
      <alignment horizontal="left"/>
    </xf>
    <xf numFmtId="2" fontId="80" fillId="0" borderId="39" xfId="0" applyNumberFormat="1" applyFont="1" applyFill="1" applyBorder="1" applyAlignment="1">
      <alignment horizontal="left"/>
    </xf>
    <xf numFmtId="2" fontId="80" fillId="0" borderId="38" xfId="42" applyNumberFormat="1" applyFont="1" applyBorder="1" applyAlignment="1">
      <alignment horizontal="left"/>
    </xf>
    <xf numFmtId="2" fontId="80" fillId="0" borderId="40" xfId="0" applyNumberFormat="1" applyFont="1" applyBorder="1" applyAlignment="1">
      <alignment horizontal="left"/>
    </xf>
    <xf numFmtId="2" fontId="82" fillId="0" borderId="13" xfId="0" applyNumberFormat="1" applyFont="1" applyBorder="1" applyAlignment="1">
      <alignment horizontal="left"/>
    </xf>
    <xf numFmtId="0" fontId="83" fillId="0" borderId="23" xfId="0" applyFont="1" applyBorder="1" applyAlignment="1">
      <alignment horizontal="left"/>
    </xf>
    <xf numFmtId="164" fontId="83" fillId="0" borderId="11" xfId="0" applyNumberFormat="1" applyFont="1" applyBorder="1" applyAlignment="1">
      <alignment horizontal="left"/>
    </xf>
    <xf numFmtId="3" fontId="83" fillId="0" borderId="38" xfId="0" applyNumberFormat="1" applyFont="1" applyBorder="1" applyAlignment="1">
      <alignment horizontal="left"/>
    </xf>
    <xf numFmtId="3" fontId="83" fillId="0" borderId="39" xfId="0" applyNumberFormat="1" applyFont="1" applyBorder="1" applyAlignment="1">
      <alignment horizontal="left"/>
    </xf>
    <xf numFmtId="164" fontId="83" fillId="0" borderId="12" xfId="0" applyNumberFormat="1" applyFont="1" applyBorder="1" applyAlignment="1">
      <alignment horizontal="left"/>
    </xf>
    <xf numFmtId="1" fontId="89" fillId="0" borderId="23" xfId="0" applyNumberFormat="1" applyFont="1" applyBorder="1" applyAlignment="1">
      <alignment horizontal="left"/>
    </xf>
    <xf numFmtId="1" fontId="86" fillId="0" borderId="14" xfId="0" applyNumberFormat="1" applyFont="1" applyBorder="1" applyAlignment="1">
      <alignment horizontal="left"/>
    </xf>
    <xf numFmtId="0" fontId="81" fillId="0" borderId="11" xfId="0" applyFont="1" applyBorder="1" applyAlignment="1">
      <alignment horizontal="left"/>
    </xf>
    <xf numFmtId="0" fontId="81" fillId="0" borderId="12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1" fontId="86" fillId="0" borderId="15" xfId="0" applyNumberFormat="1" applyFont="1" applyBorder="1" applyAlignment="1">
      <alignment horizontal="left" vertical="center"/>
    </xf>
    <xf numFmtId="1" fontId="86" fillId="0" borderId="17" xfId="0" applyNumberFormat="1" applyFont="1" applyBorder="1" applyAlignment="1">
      <alignment horizontal="left" vertical="center"/>
    </xf>
    <xf numFmtId="2" fontId="80" fillId="0" borderId="15" xfId="0" applyNumberFormat="1" applyFont="1" applyBorder="1" applyAlignment="1">
      <alignment horizontal="left" vertical="center"/>
    </xf>
    <xf numFmtId="2" fontId="80" fillId="0" borderId="37" xfId="0" applyNumberFormat="1" applyFont="1" applyBorder="1" applyAlignment="1">
      <alignment horizontal="left" vertical="center"/>
    </xf>
    <xf numFmtId="2" fontId="86" fillId="0" borderId="36" xfId="0" applyNumberFormat="1" applyFont="1" applyBorder="1" applyAlignment="1">
      <alignment horizontal="left"/>
    </xf>
    <xf numFmtId="2" fontId="86" fillId="0" borderId="15" xfId="0" applyNumberFormat="1" applyFont="1" applyBorder="1" applyAlignment="1">
      <alignment horizontal="left"/>
    </xf>
    <xf numFmtId="2" fontId="86" fillId="0" borderId="37" xfId="0" applyNumberFormat="1" applyFont="1" applyBorder="1" applyAlignment="1">
      <alignment horizontal="left"/>
    </xf>
    <xf numFmtId="2" fontId="86" fillId="0" borderId="17" xfId="0" applyNumberFormat="1" applyFont="1" applyBorder="1" applyAlignment="1">
      <alignment horizontal="left"/>
    </xf>
    <xf numFmtId="2" fontId="86" fillId="0" borderId="18" xfId="0" applyNumberFormat="1" applyFont="1" applyBorder="1" applyAlignment="1">
      <alignment horizontal="left"/>
    </xf>
    <xf numFmtId="2" fontId="80" fillId="0" borderId="36" xfId="0" applyNumberFormat="1" applyFont="1" applyBorder="1" applyAlignment="1">
      <alignment horizontal="left"/>
    </xf>
    <xf numFmtId="0" fontId="80" fillId="0" borderId="15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2" fontId="80" fillId="0" borderId="17" xfId="44" applyNumberFormat="1" applyFont="1" applyBorder="1" applyAlignment="1">
      <alignment horizontal="left"/>
    </xf>
    <xf numFmtId="2" fontId="86" fillId="0" borderId="17" xfId="0" applyNumberFormat="1" applyFont="1" applyFill="1" applyBorder="1" applyAlignment="1">
      <alignment horizontal="left"/>
    </xf>
    <xf numFmtId="2" fontId="86" fillId="0" borderId="17" xfId="42" applyNumberFormat="1" applyFont="1" applyBorder="1" applyAlignment="1">
      <alignment horizontal="left"/>
    </xf>
    <xf numFmtId="2" fontId="87" fillId="0" borderId="18" xfId="0" applyNumberFormat="1" applyFont="1" applyBorder="1" applyAlignment="1">
      <alignment horizontal="left"/>
    </xf>
    <xf numFmtId="2" fontId="87" fillId="0" borderId="36" xfId="0" applyNumberFormat="1" applyFont="1" applyBorder="1" applyAlignment="1">
      <alignment horizontal="left"/>
    </xf>
    <xf numFmtId="2" fontId="87" fillId="0" borderId="60" xfId="0" applyNumberFormat="1" applyFont="1" applyBorder="1" applyAlignment="1">
      <alignment horizontal="left"/>
    </xf>
    <xf numFmtId="0" fontId="91" fillId="0" borderId="44" xfId="0" applyFont="1" applyBorder="1" applyAlignment="1">
      <alignment horizontal="left"/>
    </xf>
    <xf numFmtId="0" fontId="91" fillId="0" borderId="61" xfId="0" applyFont="1" applyBorder="1" applyAlignment="1">
      <alignment horizontal="left"/>
    </xf>
    <xf numFmtId="0" fontId="91" fillId="0" borderId="62" xfId="0" applyFont="1" applyBorder="1" applyAlignment="1">
      <alignment horizontal="left"/>
    </xf>
    <xf numFmtId="1" fontId="90" fillId="0" borderId="63" xfId="0" applyNumberFormat="1" applyFont="1" applyBorder="1" applyAlignment="1">
      <alignment horizontal="left"/>
    </xf>
    <xf numFmtId="1" fontId="90" fillId="0" borderId="22" xfId="0" applyNumberFormat="1" applyFont="1" applyBorder="1" applyAlignment="1">
      <alignment horizontal="left"/>
    </xf>
    <xf numFmtId="1" fontId="91" fillId="0" borderId="27" xfId="42" applyNumberFormat="1" applyFont="1" applyBorder="1" applyAlignment="1">
      <alignment horizontal="left"/>
    </xf>
    <xf numFmtId="0" fontId="88" fillId="0" borderId="52" xfId="0" applyFont="1" applyBorder="1" applyAlignment="1">
      <alignment horizontal="left"/>
    </xf>
    <xf numFmtId="0" fontId="88" fillId="0" borderId="60" xfId="0" applyFont="1" applyBorder="1" applyAlignment="1">
      <alignment horizontal="left"/>
    </xf>
    <xf numFmtId="0" fontId="90" fillId="0" borderId="64" xfId="0" applyFont="1" applyBorder="1" applyAlignment="1">
      <alignment horizontal="left" vertical="center"/>
    </xf>
    <xf numFmtId="0" fontId="91" fillId="0" borderId="17" xfId="0" applyFont="1" applyBorder="1" applyAlignment="1">
      <alignment horizontal="left"/>
    </xf>
    <xf numFmtId="1" fontId="80" fillId="0" borderId="14" xfId="0" applyNumberFormat="1" applyFont="1" applyFill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0" fontId="95" fillId="0" borderId="23" xfId="0" applyFont="1" applyBorder="1" applyAlignment="1">
      <alignment horizontal="left"/>
    </xf>
    <xf numFmtId="0" fontId="96" fillId="0" borderId="0" xfId="0" applyFont="1" applyAlignment="1">
      <alignment horizontal="left"/>
    </xf>
    <xf numFmtId="0" fontId="95" fillId="0" borderId="65" xfId="0" applyFont="1" applyBorder="1" applyAlignment="1">
      <alignment horizontal="left"/>
    </xf>
    <xf numFmtId="0" fontId="97" fillId="0" borderId="41" xfId="0" applyFont="1" applyBorder="1" applyAlignment="1">
      <alignment horizontal="left"/>
    </xf>
    <xf numFmtId="0" fontId="97" fillId="0" borderId="20" xfId="0" applyFont="1" applyBorder="1" applyAlignment="1">
      <alignment horizontal="left"/>
    </xf>
    <xf numFmtId="0" fontId="97" fillId="0" borderId="21" xfId="0" applyFont="1" applyBorder="1" applyAlignment="1">
      <alignment horizontal="left"/>
    </xf>
    <xf numFmtId="0" fontId="97" fillId="0" borderId="66" xfId="0" applyFont="1" applyBorder="1" applyAlignment="1">
      <alignment horizontal="left"/>
    </xf>
    <xf numFmtId="0" fontId="97" fillId="0" borderId="67" xfId="0" applyFont="1" applyBorder="1" applyAlignment="1">
      <alignment horizontal="left"/>
    </xf>
    <xf numFmtId="0" fontId="97" fillId="0" borderId="0" xfId="0" applyFont="1" applyAlignment="1">
      <alignment horizontal="left"/>
    </xf>
    <xf numFmtId="2" fontId="95" fillId="0" borderId="10" xfId="0" applyNumberFormat="1" applyFont="1" applyBorder="1" applyAlignment="1">
      <alignment horizontal="left" vertical="center"/>
    </xf>
    <xf numFmtId="2" fontId="95" fillId="0" borderId="13" xfId="0" applyNumberFormat="1" applyFont="1" applyBorder="1" applyAlignment="1">
      <alignment horizontal="left" vertical="center"/>
    </xf>
    <xf numFmtId="2" fontId="95" fillId="0" borderId="26" xfId="0" applyNumberFormat="1" applyFont="1" applyBorder="1" applyAlignment="1">
      <alignment horizontal="left" vertical="center"/>
    </xf>
    <xf numFmtId="2" fontId="95" fillId="0" borderId="25" xfId="0" applyNumberFormat="1" applyFont="1" applyBorder="1" applyAlignment="1">
      <alignment horizontal="left" vertical="center"/>
    </xf>
    <xf numFmtId="2" fontId="95" fillId="0" borderId="11" xfId="0" applyNumberFormat="1" applyFont="1" applyBorder="1" applyAlignment="1">
      <alignment horizontal="left" vertical="center"/>
    </xf>
    <xf numFmtId="2" fontId="95" fillId="0" borderId="14" xfId="0" applyNumberFormat="1" applyFont="1" applyBorder="1" applyAlignment="1">
      <alignment horizontal="left" vertical="center"/>
    </xf>
    <xf numFmtId="2" fontId="95" fillId="0" borderId="12" xfId="0" applyNumberFormat="1" applyFont="1" applyBorder="1" applyAlignment="1">
      <alignment horizontal="left" vertical="center"/>
    </xf>
    <xf numFmtId="2" fontId="95" fillId="0" borderId="36" xfId="0" applyNumberFormat="1" applyFont="1" applyBorder="1" applyAlignment="1">
      <alignment horizontal="left" vertical="center"/>
    </xf>
    <xf numFmtId="2" fontId="95" fillId="0" borderId="10" xfId="42" applyNumberFormat="1" applyFont="1" applyBorder="1" applyAlignment="1">
      <alignment horizontal="left"/>
    </xf>
    <xf numFmtId="0" fontId="95" fillId="0" borderId="0" xfId="0" applyFont="1" applyAlignment="1">
      <alignment horizontal="left"/>
    </xf>
    <xf numFmtId="2" fontId="95" fillId="0" borderId="41" xfId="0" applyNumberFormat="1" applyFont="1" applyBorder="1" applyAlignment="1">
      <alignment horizontal="left" vertical="center"/>
    </xf>
    <xf numFmtId="2" fontId="95" fillId="0" borderId="67" xfId="0" applyNumberFormat="1" applyFont="1" applyBorder="1" applyAlignment="1">
      <alignment horizontal="left" vertical="center"/>
    </xf>
    <xf numFmtId="2" fontId="95" fillId="0" borderId="56" xfId="0" applyNumberFormat="1" applyFont="1" applyBorder="1" applyAlignment="1">
      <alignment horizontal="left" vertical="center"/>
    </xf>
    <xf numFmtId="2" fontId="95" fillId="0" borderId="55" xfId="0" applyNumberFormat="1" applyFont="1" applyBorder="1" applyAlignment="1">
      <alignment horizontal="left" vertical="center"/>
    </xf>
    <xf numFmtId="2" fontId="95" fillId="0" borderId="20" xfId="0" applyNumberFormat="1" applyFont="1" applyBorder="1" applyAlignment="1">
      <alignment horizontal="left" vertical="center"/>
    </xf>
    <xf numFmtId="2" fontId="95" fillId="0" borderId="66" xfId="0" applyNumberFormat="1" applyFont="1" applyBorder="1" applyAlignment="1">
      <alignment horizontal="left" vertical="center"/>
    </xf>
    <xf numFmtId="2" fontId="95" fillId="0" borderId="21" xfId="0" applyNumberFormat="1" applyFont="1" applyBorder="1" applyAlignment="1">
      <alignment horizontal="left" vertical="center"/>
    </xf>
    <xf numFmtId="2" fontId="95" fillId="0" borderId="41" xfId="42" applyNumberFormat="1" applyFont="1" applyBorder="1" applyAlignment="1">
      <alignment horizontal="left"/>
    </xf>
    <xf numFmtId="0" fontId="98" fillId="0" borderId="0" xfId="0" applyFont="1" applyAlignment="1">
      <alignment horizontal="left"/>
    </xf>
    <xf numFmtId="0" fontId="97" fillId="0" borderId="49" xfId="0" applyFont="1" applyBorder="1" applyAlignment="1">
      <alignment horizontal="left"/>
    </xf>
    <xf numFmtId="2" fontId="95" fillId="0" borderId="48" xfId="0" applyNumberFormat="1" applyFont="1" applyBorder="1" applyAlignment="1">
      <alignment horizontal="left" vertical="center"/>
    </xf>
    <xf numFmtId="2" fontId="95" fillId="0" borderId="57" xfId="0" applyNumberFormat="1" applyFont="1" applyBorder="1" applyAlignment="1">
      <alignment horizontal="left" vertical="center"/>
    </xf>
    <xf numFmtId="2" fontId="95" fillId="0" borderId="44" xfId="0" applyNumberFormat="1" applyFont="1" applyBorder="1" applyAlignment="1">
      <alignment horizontal="left" vertical="center"/>
    </xf>
    <xf numFmtId="2" fontId="95" fillId="0" borderId="58" xfId="0" applyNumberFormat="1" applyFont="1" applyBorder="1" applyAlignment="1">
      <alignment horizontal="left" vertical="center"/>
    </xf>
    <xf numFmtId="2" fontId="99" fillId="0" borderId="48" xfId="0" applyNumberFormat="1" applyFont="1" applyBorder="1" applyAlignment="1">
      <alignment horizontal="left"/>
    </xf>
    <xf numFmtId="2" fontId="99" fillId="0" borderId="44" xfId="42" applyNumberFormat="1" applyFont="1" applyBorder="1" applyAlignment="1">
      <alignment horizontal="left"/>
    </xf>
    <xf numFmtId="2" fontId="99" fillId="0" borderId="44" xfId="0" applyNumberFormat="1" applyFont="1" applyBorder="1" applyAlignment="1">
      <alignment horizontal="left"/>
    </xf>
    <xf numFmtId="2" fontId="99" fillId="0" borderId="49" xfId="0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0" fontId="97" fillId="0" borderId="68" xfId="0" applyFont="1" applyBorder="1" applyAlignment="1">
      <alignment horizontal="left"/>
    </xf>
    <xf numFmtId="2" fontId="95" fillId="0" borderId="69" xfId="0" applyNumberFormat="1" applyFont="1" applyBorder="1" applyAlignment="1">
      <alignment horizontal="left" vertical="center"/>
    </xf>
    <xf numFmtId="2" fontId="95" fillId="0" borderId="70" xfId="0" applyNumberFormat="1" applyFont="1" applyBorder="1" applyAlignment="1">
      <alignment horizontal="left" vertical="center"/>
    </xf>
    <xf numFmtId="2" fontId="95" fillId="0" borderId="71" xfId="0" applyNumberFormat="1" applyFont="1" applyBorder="1" applyAlignment="1">
      <alignment horizontal="left" vertical="center"/>
    </xf>
    <xf numFmtId="2" fontId="95" fillId="0" borderId="72" xfId="0" applyNumberFormat="1" applyFont="1" applyBorder="1" applyAlignment="1">
      <alignment horizontal="left" vertical="center"/>
    </xf>
    <xf numFmtId="2" fontId="99" fillId="0" borderId="69" xfId="0" applyNumberFormat="1" applyFont="1" applyBorder="1" applyAlignment="1">
      <alignment horizontal="left"/>
    </xf>
    <xf numFmtId="2" fontId="99" fillId="0" borderId="71" xfId="0" applyNumberFormat="1" applyFont="1" applyBorder="1" applyAlignment="1">
      <alignment horizontal="left"/>
    </xf>
    <xf numFmtId="2" fontId="99" fillId="0" borderId="68" xfId="0" applyNumberFormat="1" applyFont="1" applyBorder="1" applyAlignment="1">
      <alignment horizontal="left"/>
    </xf>
    <xf numFmtId="0" fontId="80" fillId="0" borderId="0" xfId="0" applyFont="1" applyAlignment="1">
      <alignment/>
    </xf>
    <xf numFmtId="0" fontId="89" fillId="0" borderId="0" xfId="0" applyFont="1" applyAlignment="1">
      <alignment horizontal="left"/>
    </xf>
    <xf numFmtId="0" fontId="83" fillId="0" borderId="24" xfId="0" applyFont="1" applyBorder="1" applyAlignment="1">
      <alignment horizontal="left"/>
    </xf>
    <xf numFmtId="0" fontId="85" fillId="0" borderId="26" xfId="0" applyFont="1" applyBorder="1" applyAlignment="1">
      <alignment/>
    </xf>
    <xf numFmtId="0" fontId="85" fillId="0" borderId="56" xfId="0" applyFont="1" applyBorder="1" applyAlignment="1">
      <alignment/>
    </xf>
    <xf numFmtId="0" fontId="82" fillId="0" borderId="26" xfId="0" applyFont="1" applyBorder="1" applyAlignment="1">
      <alignment horizontal="left"/>
    </xf>
    <xf numFmtId="0" fontId="91" fillId="0" borderId="0" xfId="0" applyFont="1" applyFill="1" applyAlignment="1">
      <alignment/>
    </xf>
    <xf numFmtId="0" fontId="83" fillId="0" borderId="42" xfId="0" applyFont="1" applyBorder="1" applyAlignment="1">
      <alignment horizontal="left"/>
    </xf>
    <xf numFmtId="0" fontId="85" fillId="0" borderId="25" xfId="0" applyFont="1" applyBorder="1" applyAlignment="1">
      <alignment/>
    </xf>
    <xf numFmtId="0" fontId="85" fillId="0" borderId="24" xfId="0" applyFont="1" applyBorder="1" applyAlignment="1">
      <alignment/>
    </xf>
    <xf numFmtId="0" fontId="85" fillId="0" borderId="50" xfId="0" applyFont="1" applyBorder="1" applyAlignment="1">
      <alignment/>
    </xf>
    <xf numFmtId="0" fontId="86" fillId="0" borderId="0" xfId="0" applyFont="1" applyAlignment="1">
      <alignment/>
    </xf>
    <xf numFmtId="2" fontId="86" fillId="0" borderId="24" xfId="0" applyNumberFormat="1" applyFont="1" applyBorder="1" applyAlignment="1">
      <alignment vertical="center"/>
    </xf>
    <xf numFmtId="2" fontId="86" fillId="0" borderId="26" xfId="0" applyNumberFormat="1" applyFont="1" applyBorder="1" applyAlignment="1">
      <alignment horizontal="right"/>
    </xf>
    <xf numFmtId="2" fontId="87" fillId="0" borderId="26" xfId="0" applyNumberFormat="1" applyFont="1" applyBorder="1" applyAlignment="1">
      <alignment horizontal="right"/>
    </xf>
    <xf numFmtId="0" fontId="92" fillId="0" borderId="52" xfId="0" applyFont="1" applyBorder="1" applyAlignment="1">
      <alignment horizontal="left"/>
    </xf>
    <xf numFmtId="0" fontId="92" fillId="0" borderId="54" xfId="0" applyFont="1" applyBorder="1" applyAlignment="1">
      <alignment horizontal="left"/>
    </xf>
    <xf numFmtId="0" fontId="87" fillId="0" borderId="19" xfId="0" applyFont="1" applyBorder="1" applyAlignment="1">
      <alignment horizontal="center" vertical="center"/>
    </xf>
    <xf numFmtId="0" fontId="85" fillId="0" borderId="54" xfId="0" applyFont="1" applyBorder="1" applyAlignment="1">
      <alignment/>
    </xf>
    <xf numFmtId="0" fontId="85" fillId="0" borderId="52" xfId="0" applyFont="1" applyBorder="1" applyAlignment="1">
      <alignment/>
    </xf>
    <xf numFmtId="0" fontId="87" fillId="0" borderId="60" xfId="0" applyFont="1" applyBorder="1" applyAlignment="1">
      <alignment horizontal="center" vertical="center"/>
    </xf>
    <xf numFmtId="2" fontId="86" fillId="0" borderId="24" xfId="0" applyNumberFormat="1" applyFont="1" applyBorder="1" applyAlignment="1">
      <alignment horizontal="right"/>
    </xf>
    <xf numFmtId="2" fontId="87" fillId="0" borderId="24" xfId="0" applyNumberFormat="1" applyFont="1" applyBorder="1" applyAlignment="1">
      <alignment horizontal="right"/>
    </xf>
    <xf numFmtId="0" fontId="81" fillId="0" borderId="19" xfId="0" applyFont="1" applyBorder="1" applyAlignment="1">
      <alignment horizontal="center" vertical="center"/>
    </xf>
    <xf numFmtId="2" fontId="80" fillId="0" borderId="26" xfId="0" applyNumberFormat="1" applyFont="1" applyBorder="1" applyAlignment="1">
      <alignment horizontal="right"/>
    </xf>
    <xf numFmtId="2" fontId="81" fillId="0" borderId="26" xfId="0" applyNumberFormat="1" applyFont="1" applyBorder="1" applyAlignment="1">
      <alignment horizontal="right"/>
    </xf>
    <xf numFmtId="0" fontId="80" fillId="0" borderId="22" xfId="0" applyFont="1" applyBorder="1" applyAlignment="1">
      <alignment horizontal="left"/>
    </xf>
    <xf numFmtId="2" fontId="80" fillId="0" borderId="26" xfId="0" applyNumberFormat="1" applyFont="1" applyBorder="1" applyAlignment="1">
      <alignment horizontal="left"/>
    </xf>
    <xf numFmtId="2" fontId="81" fillId="0" borderId="26" xfId="0" applyNumberFormat="1" applyFont="1" applyBorder="1" applyAlignment="1">
      <alignment horizontal="left"/>
    </xf>
    <xf numFmtId="2" fontId="91" fillId="0" borderId="26" xfId="0" applyNumberFormat="1" applyFont="1" applyBorder="1" applyAlignment="1">
      <alignment horizontal="left"/>
    </xf>
    <xf numFmtId="2" fontId="86" fillId="0" borderId="26" xfId="44" applyNumberFormat="1" applyFont="1" applyBorder="1" applyAlignment="1">
      <alignment horizontal="right"/>
    </xf>
    <xf numFmtId="2" fontId="86" fillId="0" borderId="26" xfId="42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86" fillId="0" borderId="26" xfId="0" applyNumberFormat="1" applyFont="1" applyBorder="1" applyAlignment="1">
      <alignment horizontal="right" wrapText="1"/>
    </xf>
    <xf numFmtId="3" fontId="88" fillId="0" borderId="26" xfId="0" applyNumberFormat="1" applyFont="1" applyBorder="1" applyAlignment="1">
      <alignment horizontal="right"/>
    </xf>
    <xf numFmtId="3" fontId="92" fillId="0" borderId="26" xfId="0" applyNumberFormat="1" applyFont="1" applyBorder="1" applyAlignment="1">
      <alignment horizontal="right"/>
    </xf>
    <xf numFmtId="164" fontId="88" fillId="0" borderId="26" xfId="0" applyNumberFormat="1" applyFont="1" applyBorder="1" applyAlignment="1">
      <alignment horizontal="right"/>
    </xf>
    <xf numFmtId="2" fontId="86" fillId="0" borderId="26" xfId="0" applyNumberFormat="1" applyFont="1" applyFill="1" applyBorder="1" applyAlignment="1">
      <alignment horizontal="right"/>
    </xf>
    <xf numFmtId="1" fontId="101" fillId="0" borderId="43" xfId="0" applyNumberFormat="1" applyFont="1" applyFill="1" applyBorder="1" applyAlignment="1">
      <alignment horizontal="left" vertical="top" wrapText="1"/>
    </xf>
    <xf numFmtId="1" fontId="101" fillId="0" borderId="28" xfId="0" applyNumberFormat="1" applyFont="1" applyFill="1" applyBorder="1" applyAlignment="1">
      <alignment horizontal="left" vertical="center"/>
    </xf>
    <xf numFmtId="1" fontId="101" fillId="0" borderId="27" xfId="0" applyNumberFormat="1" applyFont="1" applyFill="1" applyBorder="1" applyAlignment="1">
      <alignment horizontal="left" vertical="center"/>
    </xf>
    <xf numFmtId="1" fontId="101" fillId="0" borderId="29" xfId="0" applyNumberFormat="1" applyFont="1" applyFill="1" applyBorder="1" applyAlignment="1">
      <alignment horizontal="left" vertical="center"/>
    </xf>
    <xf numFmtId="1" fontId="101" fillId="0" borderId="0" xfId="0" applyNumberFormat="1" applyFont="1" applyFill="1" applyAlignment="1">
      <alignment horizontal="left"/>
    </xf>
    <xf numFmtId="1" fontId="102" fillId="0" borderId="24" xfId="0" applyNumberFormat="1" applyFont="1" applyFill="1" applyBorder="1" applyAlignment="1">
      <alignment horizontal="left" vertical="top" wrapText="1"/>
    </xf>
    <xf numFmtId="1" fontId="101" fillId="0" borderId="10" xfId="0" applyNumberFormat="1" applyFont="1" applyBorder="1" applyAlignment="1">
      <alignment horizontal="left" vertical="center"/>
    </xf>
    <xf numFmtId="1" fontId="101" fillId="0" borderId="11" xfId="0" applyNumberFormat="1" applyFont="1" applyBorder="1" applyAlignment="1">
      <alignment horizontal="left" vertical="center"/>
    </xf>
    <xf numFmtId="1" fontId="101" fillId="0" borderId="12" xfId="0" applyNumberFormat="1" applyFont="1" applyBorder="1" applyAlignment="1">
      <alignment horizontal="left" vertical="center"/>
    </xf>
    <xf numFmtId="1" fontId="101" fillId="0" borderId="13" xfId="0" applyNumberFormat="1" applyFont="1" applyBorder="1" applyAlignment="1">
      <alignment horizontal="left" vertical="center"/>
    </xf>
    <xf numFmtId="1" fontId="102" fillId="0" borderId="0" xfId="0" applyNumberFormat="1" applyFont="1" applyAlignment="1">
      <alignment horizontal="left"/>
    </xf>
    <xf numFmtId="1" fontId="102" fillId="0" borderId="11" xfId="0" applyNumberFormat="1" applyFont="1" applyBorder="1" applyAlignment="1">
      <alignment horizontal="left" vertical="center"/>
    </xf>
    <xf numFmtId="1" fontId="102" fillId="0" borderId="12" xfId="0" applyNumberFormat="1" applyFont="1" applyBorder="1" applyAlignment="1">
      <alignment horizontal="left" vertical="center"/>
    </xf>
    <xf numFmtId="0" fontId="101" fillId="0" borderId="0" xfId="0" applyFont="1" applyBorder="1" applyAlignment="1">
      <alignment horizontal="left"/>
    </xf>
    <xf numFmtId="1" fontId="81" fillId="0" borderId="18" xfId="0" applyNumberFormat="1" applyFont="1" applyBorder="1" applyAlignment="1">
      <alignment horizontal="left" vertical="center"/>
    </xf>
    <xf numFmtId="1" fontId="81" fillId="0" borderId="15" xfId="0" applyNumberFormat="1" applyFont="1" applyBorder="1" applyAlignment="1">
      <alignment horizontal="left" vertical="center"/>
    </xf>
    <xf numFmtId="1" fontId="81" fillId="0" borderId="17" xfId="0" applyNumberFormat="1" applyFont="1" applyBorder="1" applyAlignment="1">
      <alignment horizontal="left" vertical="center"/>
    </xf>
    <xf numFmtId="1" fontId="80" fillId="0" borderId="15" xfId="0" applyNumberFormat="1" applyFont="1" applyFill="1" applyBorder="1" applyAlignment="1">
      <alignment horizontal="left" vertical="center" shrinkToFit="1"/>
    </xf>
    <xf numFmtId="1" fontId="80" fillId="0" borderId="17" xfId="0" applyNumberFormat="1" applyFont="1" applyFill="1" applyBorder="1" applyAlignment="1">
      <alignment horizontal="left" vertical="center" shrinkToFit="1"/>
    </xf>
    <xf numFmtId="1" fontId="81" fillId="0" borderId="36" xfId="0" applyNumberFormat="1" applyFont="1" applyBorder="1" applyAlignment="1">
      <alignment horizontal="left" vertical="center"/>
    </xf>
    <xf numFmtId="1" fontId="81" fillId="0" borderId="60" xfId="0" applyNumberFormat="1" applyFont="1" applyBorder="1" applyAlignment="1">
      <alignment horizontal="left" vertic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50" xfId="0" applyFont="1" applyBorder="1" applyAlignment="1">
      <alignment horizontal="left"/>
    </xf>
    <xf numFmtId="1" fontId="105" fillId="0" borderId="20" xfId="0" applyNumberFormat="1" applyFont="1" applyBorder="1" applyAlignment="1">
      <alignment horizontal="left" vertical="center"/>
    </xf>
    <xf numFmtId="1" fontId="105" fillId="0" borderId="21" xfId="0" applyNumberFormat="1" applyFont="1" applyBorder="1" applyAlignment="1">
      <alignment horizontal="left" vertical="center"/>
    </xf>
    <xf numFmtId="1" fontId="105" fillId="0" borderId="67" xfId="0" applyNumberFormat="1" applyFont="1" applyBorder="1" applyAlignment="1">
      <alignment horizontal="left" vertical="center"/>
    </xf>
    <xf numFmtId="1" fontId="105" fillId="0" borderId="41" xfId="0" applyNumberFormat="1" applyFont="1" applyBorder="1" applyAlignment="1">
      <alignment horizontal="left"/>
    </xf>
    <xf numFmtId="1" fontId="105" fillId="0" borderId="50" xfId="0" applyNumberFormat="1" applyFont="1" applyBorder="1" applyAlignment="1">
      <alignment horizontal="left"/>
    </xf>
    <xf numFmtId="1" fontId="105" fillId="0" borderId="21" xfId="42" applyNumberFormat="1" applyFont="1" applyBorder="1" applyAlignment="1">
      <alignment horizontal="left"/>
    </xf>
    <xf numFmtId="0" fontId="105" fillId="0" borderId="0" xfId="0" applyFont="1" applyAlignment="1">
      <alignment horizontal="left"/>
    </xf>
    <xf numFmtId="1" fontId="106" fillId="0" borderId="0" xfId="0" applyNumberFormat="1" applyFont="1" applyAlignment="1">
      <alignment/>
    </xf>
    <xf numFmtId="1" fontId="91" fillId="0" borderId="14" xfId="0" applyNumberFormat="1" applyFont="1" applyBorder="1" applyAlignment="1">
      <alignment horizontal="left" vertical="center"/>
    </xf>
    <xf numFmtId="1" fontId="91" fillId="0" borderId="14" xfId="44" applyNumberFormat="1" applyFont="1" applyBorder="1" applyAlignment="1">
      <alignment horizontal="left"/>
    </xf>
    <xf numFmtId="1" fontId="90" fillId="0" borderId="52" xfId="0" applyNumberFormat="1" applyFont="1" applyBorder="1" applyAlignment="1">
      <alignment horizontal="left" vertical="center"/>
    </xf>
    <xf numFmtId="1" fontId="92" fillId="0" borderId="10" xfId="0" applyNumberFormat="1" applyFont="1" applyBorder="1" applyAlignment="1">
      <alignment horizontal="left"/>
    </xf>
    <xf numFmtId="1" fontId="90" fillId="0" borderId="10" xfId="42" applyNumberFormat="1" applyFont="1" applyBorder="1" applyAlignment="1">
      <alignment horizontal="left"/>
    </xf>
    <xf numFmtId="1" fontId="90" fillId="0" borderId="0" xfId="0" applyNumberFormat="1" applyFont="1" applyAlignment="1">
      <alignment horizontal="left"/>
    </xf>
    <xf numFmtId="1" fontId="90" fillId="0" borderId="14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90" fillId="0" borderId="24" xfId="0" applyNumberFormat="1" applyFont="1" applyBorder="1" applyAlignment="1">
      <alignment horizontal="left" vertical="center"/>
    </xf>
    <xf numFmtId="1" fontId="91" fillId="0" borderId="29" xfId="0" applyNumberFormat="1" applyFont="1" applyBorder="1" applyAlignment="1">
      <alignment horizontal="left" vertical="center"/>
    </xf>
    <xf numFmtId="1" fontId="91" fillId="0" borderId="31" xfId="0" applyNumberFormat="1" applyFont="1" applyBorder="1" applyAlignment="1">
      <alignment horizontal="left" vertical="center"/>
    </xf>
    <xf numFmtId="1" fontId="91" fillId="0" borderId="28" xfId="44" applyNumberFormat="1" applyFont="1" applyBorder="1" applyAlignment="1">
      <alignment horizontal="left"/>
    </xf>
    <xf numFmtId="1" fontId="91" fillId="0" borderId="31" xfId="44" applyNumberFormat="1" applyFont="1" applyBorder="1" applyAlignment="1">
      <alignment horizontal="left"/>
    </xf>
    <xf numFmtId="1" fontId="88" fillId="0" borderId="28" xfId="0" applyNumberFormat="1" applyFont="1" applyBorder="1" applyAlignment="1">
      <alignment horizontal="left"/>
    </xf>
    <xf numFmtId="1" fontId="88" fillId="0" borderId="31" xfId="0" applyNumberFormat="1" applyFont="1" applyBorder="1" applyAlignment="1">
      <alignment horizontal="left"/>
    </xf>
    <xf numFmtId="1" fontId="91" fillId="0" borderId="73" xfId="0" applyNumberFormat="1" applyFont="1" applyBorder="1" applyAlignment="1">
      <alignment horizontal="left" vertical="center"/>
    </xf>
    <xf numFmtId="1" fontId="91" fillId="0" borderId="32" xfId="0" applyNumberFormat="1" applyFont="1" applyBorder="1" applyAlignment="1">
      <alignment horizontal="left"/>
    </xf>
    <xf numFmtId="1" fontId="91" fillId="0" borderId="73" xfId="0" applyNumberFormat="1" applyFont="1" applyBorder="1" applyAlignment="1">
      <alignment horizontal="left"/>
    </xf>
    <xf numFmtId="1" fontId="105" fillId="0" borderId="0" xfId="0" applyNumberFormat="1" applyFont="1" applyAlignment="1">
      <alignment horizontal="left"/>
    </xf>
    <xf numFmtId="1" fontId="105" fillId="0" borderId="71" xfId="0" applyNumberFormat="1" applyFont="1" applyBorder="1" applyAlignment="1">
      <alignment horizontal="left" vertical="center"/>
    </xf>
    <xf numFmtId="1" fontId="105" fillId="0" borderId="74" xfId="0" applyNumberFormat="1" applyFont="1" applyBorder="1" applyAlignment="1">
      <alignment horizontal="left" vertical="center"/>
    </xf>
    <xf numFmtId="1" fontId="105" fillId="0" borderId="68" xfId="0" applyNumberFormat="1" applyFont="1" applyBorder="1" applyAlignment="1">
      <alignment horizontal="left" vertical="center"/>
    </xf>
    <xf numFmtId="0" fontId="105" fillId="0" borderId="68" xfId="0" applyFont="1" applyBorder="1" applyAlignment="1">
      <alignment horizontal="left"/>
    </xf>
    <xf numFmtId="1" fontId="107" fillId="0" borderId="53" xfId="0" applyNumberFormat="1" applyFont="1" applyBorder="1" applyAlignment="1">
      <alignment horizontal="justify" vertical="justify" wrapText="1"/>
    </xf>
    <xf numFmtId="1" fontId="103" fillId="0" borderId="0" xfId="0" applyNumberFormat="1" applyFont="1" applyAlignment="1">
      <alignment horizontal="justify" vertical="justify" wrapText="1"/>
    </xf>
    <xf numFmtId="0" fontId="105" fillId="0" borderId="72" xfId="0" applyFont="1" applyBorder="1" applyAlignment="1">
      <alignment horizontal="left"/>
    </xf>
    <xf numFmtId="0" fontId="106" fillId="0" borderId="0" xfId="0" applyFont="1" applyAlignment="1">
      <alignment/>
    </xf>
    <xf numFmtId="0" fontId="101" fillId="0" borderId="50" xfId="0" applyFont="1" applyBorder="1" applyAlignment="1">
      <alignment horizontal="left"/>
    </xf>
    <xf numFmtId="0" fontId="102" fillId="0" borderId="56" xfId="0" applyFont="1" applyBorder="1" applyAlignment="1">
      <alignment horizontal="left"/>
    </xf>
    <xf numFmtId="0" fontId="102" fillId="0" borderId="21" xfId="0" applyFont="1" applyBorder="1" applyAlignment="1">
      <alignment horizontal="left"/>
    </xf>
    <xf numFmtId="0" fontId="102" fillId="0" borderId="0" xfId="0" applyFont="1" applyAlignment="1">
      <alignment horizontal="left"/>
    </xf>
    <xf numFmtId="0" fontId="105" fillId="0" borderId="70" xfId="0" applyFont="1" applyBorder="1" applyAlignment="1">
      <alignment horizontal="left"/>
    </xf>
    <xf numFmtId="0" fontId="85" fillId="0" borderId="32" xfId="0" applyFont="1" applyBorder="1" applyAlignment="1">
      <alignment/>
    </xf>
    <xf numFmtId="0" fontId="85" fillId="0" borderId="43" xfId="0" applyFont="1" applyBorder="1" applyAlignment="1">
      <alignment/>
    </xf>
    <xf numFmtId="0" fontId="11" fillId="0" borderId="0" xfId="0" applyFont="1" applyAlignment="1">
      <alignment horizontal="left"/>
    </xf>
    <xf numFmtId="1" fontId="103" fillId="0" borderId="0" xfId="0" applyNumberFormat="1" applyFont="1" applyAlignment="1">
      <alignment/>
    </xf>
    <xf numFmtId="1" fontId="91" fillId="0" borderId="75" xfId="0" applyNumberFormat="1" applyFont="1" applyBorder="1" applyAlignment="1">
      <alignment horizontal="left"/>
    </xf>
    <xf numFmtId="1" fontId="91" fillId="0" borderId="47" xfId="0" applyNumberFormat="1" applyFont="1" applyBorder="1" applyAlignment="1">
      <alignment horizontal="left"/>
    </xf>
    <xf numFmtId="1" fontId="91" fillId="0" borderId="61" xfId="0" applyNumberFormat="1" applyFont="1" applyBorder="1" applyAlignment="1">
      <alignment horizontal="left"/>
    </xf>
    <xf numFmtId="1" fontId="91" fillId="0" borderId="62" xfId="0" applyNumberFormat="1" applyFont="1" applyBorder="1" applyAlignment="1">
      <alignment horizontal="left"/>
    </xf>
    <xf numFmtId="0" fontId="91" fillId="0" borderId="76" xfId="0" applyFont="1" applyBorder="1" applyAlignment="1">
      <alignment horizontal="left"/>
    </xf>
    <xf numFmtId="0" fontId="90" fillId="0" borderId="77" xfId="0" applyFont="1" applyBorder="1" applyAlignment="1">
      <alignment horizontal="left"/>
    </xf>
    <xf numFmtId="0" fontId="90" fillId="0" borderId="16" xfId="0" applyFont="1" applyBorder="1" applyAlignment="1">
      <alignment horizontal="left"/>
    </xf>
    <xf numFmtId="0" fontId="91" fillId="0" borderId="75" xfId="0" applyFont="1" applyBorder="1" applyAlignment="1">
      <alignment horizontal="left"/>
    </xf>
    <xf numFmtId="1" fontId="105" fillId="0" borderId="68" xfId="0" applyNumberFormat="1" applyFont="1" applyBorder="1" applyAlignment="1">
      <alignment horizontal="center" vertical="justify" wrapText="1"/>
    </xf>
    <xf numFmtId="0" fontId="105" fillId="0" borderId="41" xfId="0" applyFont="1" applyBorder="1" applyAlignment="1">
      <alignment horizontal="left" vertical="justify" wrapText="1"/>
    </xf>
    <xf numFmtId="0" fontId="105" fillId="0" borderId="20" xfId="0" applyFont="1" applyBorder="1" applyAlignment="1">
      <alignment horizontal="left" vertical="justify" wrapText="1"/>
    </xf>
    <xf numFmtId="1" fontId="105" fillId="0" borderId="21" xfId="0" applyNumberFormat="1" applyFont="1" applyBorder="1" applyAlignment="1">
      <alignment horizontal="left" vertical="justify" wrapText="1"/>
    </xf>
    <xf numFmtId="0" fontId="105" fillId="0" borderId="67" xfId="0" applyFont="1" applyBorder="1" applyAlignment="1">
      <alignment horizontal="left" vertical="justify" wrapText="1"/>
    </xf>
    <xf numFmtId="1" fontId="105" fillId="0" borderId="21" xfId="0" applyNumberFormat="1" applyFont="1" applyFill="1" applyBorder="1" applyAlignment="1">
      <alignment horizontal="left" vertical="justify" wrapText="1"/>
    </xf>
    <xf numFmtId="1" fontId="86" fillId="0" borderId="36" xfId="0" applyNumberFormat="1" applyFont="1" applyBorder="1" applyAlignment="1">
      <alignment horizontal="left" vertical="center"/>
    </xf>
    <xf numFmtId="1" fontId="86" fillId="0" borderId="18" xfId="0" applyNumberFormat="1" applyFont="1" applyBorder="1" applyAlignment="1">
      <alignment horizontal="left"/>
    </xf>
    <xf numFmtId="1" fontId="86" fillId="0" borderId="15" xfId="0" applyNumberFormat="1" applyFont="1" applyBorder="1" applyAlignment="1">
      <alignment horizontal="left"/>
    </xf>
    <xf numFmtId="1" fontId="86" fillId="0" borderId="17" xfId="0" applyNumberFormat="1" applyFont="1" applyBorder="1" applyAlignment="1">
      <alignment horizontal="left"/>
    </xf>
    <xf numFmtId="1" fontId="86" fillId="0" borderId="17" xfId="0" applyNumberFormat="1" applyFont="1" applyFill="1" applyBorder="1" applyAlignment="1">
      <alignment horizontal="left"/>
    </xf>
    <xf numFmtId="1" fontId="86" fillId="0" borderId="36" xfId="0" applyNumberFormat="1" applyFont="1" applyBorder="1" applyAlignment="1">
      <alignment horizontal="left"/>
    </xf>
    <xf numFmtId="1" fontId="86" fillId="0" borderId="18" xfId="44" applyNumberFormat="1" applyFont="1" applyBorder="1" applyAlignment="1">
      <alignment horizontal="left"/>
    </xf>
    <xf numFmtId="1" fontId="86" fillId="0" borderId="15" xfId="44" applyNumberFormat="1" applyFont="1" applyBorder="1" applyAlignment="1">
      <alignment horizontal="left"/>
    </xf>
    <xf numFmtId="1" fontId="86" fillId="0" borderId="17" xfId="44" applyNumberFormat="1" applyFont="1" applyBorder="1" applyAlignment="1">
      <alignment horizontal="left"/>
    </xf>
    <xf numFmtId="1" fontId="86" fillId="0" borderId="18" xfId="0" applyNumberFormat="1" applyFont="1" applyBorder="1" applyAlignment="1">
      <alignment horizontal="left" wrapText="1"/>
    </xf>
    <xf numFmtId="0" fontId="93" fillId="0" borderId="18" xfId="0" applyFont="1" applyBorder="1" applyAlignment="1">
      <alignment horizontal="left"/>
    </xf>
    <xf numFmtId="1" fontId="86" fillId="0" borderId="18" xfId="0" applyNumberFormat="1" applyFont="1" applyFill="1" applyBorder="1" applyAlignment="1">
      <alignment horizontal="left"/>
    </xf>
    <xf numFmtId="1" fontId="86" fillId="0" borderId="15" xfId="0" applyNumberFormat="1" applyFont="1" applyFill="1" applyBorder="1" applyAlignment="1">
      <alignment horizontal="left"/>
    </xf>
    <xf numFmtId="1" fontId="86" fillId="0" borderId="18" xfId="42" applyNumberFormat="1" applyFont="1" applyBorder="1" applyAlignment="1">
      <alignment horizontal="left"/>
    </xf>
    <xf numFmtId="1" fontId="86" fillId="0" borderId="15" xfId="42" applyNumberFormat="1" applyFont="1" applyBorder="1" applyAlignment="1">
      <alignment horizontal="left"/>
    </xf>
    <xf numFmtId="1" fontId="86" fillId="0" borderId="17" xfId="42" applyNumberFormat="1" applyFont="1" applyBorder="1" applyAlignment="1">
      <alignment horizontal="left"/>
    </xf>
    <xf numFmtId="1" fontId="85" fillId="0" borderId="17" xfId="0" applyNumberFormat="1" applyFont="1" applyBorder="1" applyAlignment="1">
      <alignment horizontal="left"/>
    </xf>
    <xf numFmtId="1" fontId="86" fillId="0" borderId="13" xfId="44" applyNumberFormat="1" applyFont="1" applyBorder="1" applyAlignment="1">
      <alignment horizontal="left"/>
    </xf>
    <xf numFmtId="1" fontId="86" fillId="0" borderId="12" xfId="44" applyNumberFormat="1" applyFont="1" applyBorder="1" applyAlignment="1">
      <alignment horizontal="left"/>
    </xf>
    <xf numFmtId="1" fontId="86" fillId="0" borderId="13" xfId="42" applyNumberFormat="1" applyFont="1" applyBorder="1" applyAlignment="1">
      <alignment horizontal="left"/>
    </xf>
    <xf numFmtId="1" fontId="85" fillId="0" borderId="10" xfId="0" applyNumberFormat="1" applyFont="1" applyBorder="1" applyAlignment="1">
      <alignment horizontal="left"/>
    </xf>
    <xf numFmtId="1" fontId="85" fillId="0" borderId="12" xfId="0" applyNumberFormat="1" applyFont="1" applyFill="1" applyBorder="1" applyAlignment="1">
      <alignment horizontal="left"/>
    </xf>
    <xf numFmtId="1" fontId="85" fillId="0" borderId="41" xfId="0" applyNumberFormat="1" applyFont="1" applyBorder="1" applyAlignment="1">
      <alignment horizontal="left"/>
    </xf>
    <xf numFmtId="1" fontId="85" fillId="0" borderId="20" xfId="0" applyNumberFormat="1" applyFont="1" applyBorder="1" applyAlignment="1">
      <alignment horizontal="left"/>
    </xf>
    <xf numFmtId="1" fontId="85" fillId="0" borderId="21" xfId="0" applyNumberFormat="1" applyFont="1" applyBorder="1" applyAlignment="1">
      <alignment horizontal="left"/>
    </xf>
    <xf numFmtId="1" fontId="85" fillId="0" borderId="67" xfId="0" applyNumberFormat="1" applyFont="1" applyBorder="1" applyAlignment="1">
      <alignment horizontal="left"/>
    </xf>
    <xf numFmtId="1" fontId="85" fillId="0" borderId="21" xfId="0" applyNumberFormat="1" applyFont="1" applyFill="1" applyBorder="1" applyAlignment="1">
      <alignment horizontal="left"/>
    </xf>
    <xf numFmtId="0" fontId="108" fillId="0" borderId="52" xfId="0" applyFont="1" applyBorder="1" applyAlignment="1">
      <alignment horizontal="left"/>
    </xf>
    <xf numFmtId="1" fontId="103" fillId="0" borderId="10" xfId="0" applyNumberFormat="1" applyFont="1" applyBorder="1" applyAlignment="1">
      <alignment horizontal="left"/>
    </xf>
    <xf numFmtId="1" fontId="103" fillId="0" borderId="11" xfId="0" applyNumberFormat="1" applyFont="1" applyBorder="1" applyAlignment="1">
      <alignment horizontal="left"/>
    </xf>
    <xf numFmtId="1" fontId="103" fillId="0" borderId="12" xfId="0" applyNumberFormat="1" applyFont="1" applyBorder="1" applyAlignment="1">
      <alignment horizontal="left"/>
    </xf>
    <xf numFmtId="1" fontId="103" fillId="0" borderId="13" xfId="0" applyNumberFormat="1" applyFont="1" applyBorder="1" applyAlignment="1">
      <alignment horizontal="left"/>
    </xf>
    <xf numFmtId="1" fontId="107" fillId="0" borderId="11" xfId="0" applyNumberFormat="1" applyFont="1" applyBorder="1" applyAlignment="1">
      <alignment horizontal="left"/>
    </xf>
    <xf numFmtId="1" fontId="107" fillId="0" borderId="12" xfId="0" applyNumberFormat="1" applyFont="1" applyBorder="1" applyAlignment="1">
      <alignment horizontal="left"/>
    </xf>
    <xf numFmtId="1" fontId="107" fillId="0" borderId="10" xfId="0" applyNumberFormat="1" applyFont="1" applyBorder="1" applyAlignment="1">
      <alignment horizontal="left"/>
    </xf>
    <xf numFmtId="0" fontId="85" fillId="0" borderId="73" xfId="0" applyFont="1" applyBorder="1" applyAlignment="1">
      <alignment/>
    </xf>
    <xf numFmtId="0" fontId="85" fillId="0" borderId="55" xfId="0" applyFont="1" applyBorder="1" applyAlignment="1">
      <alignment/>
    </xf>
    <xf numFmtId="0" fontId="85" fillId="0" borderId="60" xfId="0" applyFont="1" applyBorder="1" applyAlignment="1">
      <alignment/>
    </xf>
    <xf numFmtId="0" fontId="85" fillId="0" borderId="19" xfId="0" applyFont="1" applyBorder="1" applyAlignment="1">
      <alignment/>
    </xf>
    <xf numFmtId="0" fontId="85" fillId="0" borderId="64" xfId="0" applyFont="1" applyBorder="1" applyAlignment="1">
      <alignment/>
    </xf>
    <xf numFmtId="0" fontId="85" fillId="0" borderId="23" xfId="0" applyFont="1" applyBorder="1" applyAlignment="1">
      <alignment/>
    </xf>
    <xf numFmtId="2" fontId="80" fillId="0" borderId="14" xfId="42" applyNumberFormat="1" applyFont="1" applyBorder="1" applyAlignment="1">
      <alignment horizontal="left"/>
    </xf>
    <xf numFmtId="2" fontId="80" fillId="0" borderId="66" xfId="42" applyNumberFormat="1" applyFont="1" applyBorder="1" applyAlignment="1">
      <alignment horizontal="left"/>
    </xf>
    <xf numFmtId="2" fontId="81" fillId="0" borderId="60" xfId="0" applyNumberFormat="1" applyFont="1" applyBorder="1" applyAlignment="1">
      <alignment horizontal="left" vertical="center"/>
    </xf>
    <xf numFmtId="2" fontId="95" fillId="0" borderId="60" xfId="0" applyNumberFormat="1" applyFont="1" applyBorder="1" applyAlignment="1">
      <alignment horizontal="left" vertical="center"/>
    </xf>
    <xf numFmtId="2" fontId="95" fillId="0" borderId="78" xfId="0" applyNumberFormat="1" applyFont="1" applyBorder="1" applyAlignment="1">
      <alignment horizontal="left" vertical="center"/>
    </xf>
    <xf numFmtId="2" fontId="95" fillId="0" borderId="65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/>
    </xf>
    <xf numFmtId="2" fontId="81" fillId="0" borderId="12" xfId="44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1" fontId="80" fillId="0" borderId="28" xfId="0" applyNumberFormat="1" applyFont="1" applyBorder="1" applyAlignment="1">
      <alignment horizontal="left" vertical="center"/>
    </xf>
    <xf numFmtId="1" fontId="80" fillId="0" borderId="27" xfId="0" applyNumberFormat="1" applyFont="1" applyBorder="1" applyAlignment="1">
      <alignment horizontal="left" vertical="center"/>
    </xf>
    <xf numFmtId="1" fontId="80" fillId="0" borderId="28" xfId="0" applyNumberFormat="1" applyFont="1" applyBorder="1" applyAlignment="1">
      <alignment horizontal="left"/>
    </xf>
    <xf numFmtId="1" fontId="80" fillId="0" borderId="27" xfId="0" applyNumberFormat="1" applyFont="1" applyBorder="1" applyAlignment="1">
      <alignment horizontal="left"/>
    </xf>
    <xf numFmtId="3" fontId="83" fillId="0" borderId="28" xfId="0" applyNumberFormat="1" applyFont="1" applyBorder="1" applyAlignment="1">
      <alignment horizontal="left"/>
    </xf>
    <xf numFmtId="3" fontId="83" fillId="0" borderId="27" xfId="0" applyNumberFormat="1" applyFont="1" applyBorder="1" applyAlignment="1">
      <alignment horizontal="left"/>
    </xf>
    <xf numFmtId="1" fontId="80" fillId="0" borderId="28" xfId="0" applyNumberFormat="1" applyFont="1" applyFill="1" applyBorder="1" applyAlignment="1">
      <alignment horizontal="left"/>
    </xf>
    <xf numFmtId="1" fontId="80" fillId="0" borderId="27" xfId="0" applyNumberFormat="1" applyFont="1" applyFill="1" applyBorder="1" applyAlignment="1">
      <alignment horizontal="left"/>
    </xf>
    <xf numFmtId="1" fontId="80" fillId="0" borderId="28" xfId="42" applyNumberFormat="1" applyFont="1" applyBorder="1" applyAlignment="1">
      <alignment horizontal="left"/>
    </xf>
    <xf numFmtId="1" fontId="80" fillId="0" borderId="27" xfId="42" applyNumberFormat="1" applyFont="1" applyBorder="1" applyAlignment="1">
      <alignment horizontal="left"/>
    </xf>
    <xf numFmtId="1" fontId="81" fillId="0" borderId="61" xfId="0" applyNumberFormat="1" applyFont="1" applyBorder="1" applyAlignment="1">
      <alignment horizontal="left"/>
    </xf>
    <xf numFmtId="1" fontId="81" fillId="0" borderId="62" xfId="0" applyNumberFormat="1" applyFont="1" applyBorder="1" applyAlignment="1">
      <alignment horizontal="left"/>
    </xf>
    <xf numFmtId="1" fontId="81" fillId="0" borderId="63" xfId="0" applyNumberFormat="1" applyFont="1" applyBorder="1" applyAlignment="1">
      <alignment horizontal="left"/>
    </xf>
    <xf numFmtId="1" fontId="81" fillId="0" borderId="22" xfId="0" applyNumberFormat="1" applyFont="1" applyBorder="1" applyAlignment="1">
      <alignment horizontal="left"/>
    </xf>
    <xf numFmtId="1" fontId="95" fillId="0" borderId="71" xfId="0" applyNumberFormat="1" applyFont="1" applyBorder="1" applyAlignment="1">
      <alignment horizontal="left" vertical="center"/>
    </xf>
    <xf numFmtId="1" fontId="95" fillId="0" borderId="76" xfId="0" applyNumberFormat="1" applyFont="1" applyBorder="1" applyAlignment="1">
      <alignment horizontal="left" vertical="center"/>
    </xf>
    <xf numFmtId="1" fontId="95" fillId="0" borderId="75" xfId="0" applyNumberFormat="1" applyFont="1" applyBorder="1" applyAlignment="1">
      <alignment horizontal="left" vertical="center"/>
    </xf>
    <xf numFmtId="1" fontId="95" fillId="0" borderId="69" xfId="0" applyNumberFormat="1" applyFont="1" applyBorder="1" applyAlignment="1">
      <alignment horizontal="left" vertical="center"/>
    </xf>
    <xf numFmtId="1" fontId="95" fillId="0" borderId="68" xfId="0" applyNumberFormat="1" applyFont="1" applyBorder="1" applyAlignment="1">
      <alignment horizontal="left" vertical="center"/>
    </xf>
    <xf numFmtId="1" fontId="95" fillId="0" borderId="76" xfId="0" applyNumberFormat="1" applyFont="1" applyBorder="1" applyAlignment="1">
      <alignment horizontal="left"/>
    </xf>
    <xf numFmtId="1" fontId="95" fillId="0" borderId="75" xfId="0" applyNumberFormat="1" applyFont="1" applyBorder="1" applyAlignment="1">
      <alignment horizontal="left"/>
    </xf>
    <xf numFmtId="1" fontId="96" fillId="0" borderId="69" xfId="42" applyNumberFormat="1" applyFont="1" applyBorder="1" applyAlignment="1">
      <alignment horizontal="left"/>
    </xf>
    <xf numFmtId="1" fontId="96" fillId="0" borderId="72" xfId="42" applyNumberFormat="1" applyFont="1" applyBorder="1" applyAlignment="1">
      <alignment horizontal="left"/>
    </xf>
    <xf numFmtId="1" fontId="95" fillId="0" borderId="69" xfId="0" applyNumberFormat="1" applyFont="1" applyBorder="1" applyAlignment="1">
      <alignment horizontal="left"/>
    </xf>
    <xf numFmtId="1" fontId="95" fillId="0" borderId="72" xfId="0" applyNumberFormat="1" applyFont="1" applyBorder="1" applyAlignment="1">
      <alignment horizontal="left"/>
    </xf>
    <xf numFmtId="1" fontId="83" fillId="0" borderId="43" xfId="0" applyNumberFormat="1" applyFont="1" applyFill="1" applyBorder="1" applyAlignment="1">
      <alignment horizontal="left" vertical="top" wrapText="1"/>
    </xf>
    <xf numFmtId="1" fontId="81" fillId="0" borderId="73" xfId="0" applyNumberFormat="1" applyFont="1" applyBorder="1" applyAlignment="1">
      <alignment horizontal="left" vertical="center"/>
    </xf>
    <xf numFmtId="1" fontId="81" fillId="0" borderId="32" xfId="0" applyNumberFormat="1" applyFont="1" applyBorder="1" applyAlignment="1">
      <alignment horizontal="left" vertical="center"/>
    </xf>
    <xf numFmtId="1" fontId="81" fillId="0" borderId="29" xfId="0" applyNumberFormat="1" applyFont="1" applyBorder="1" applyAlignment="1">
      <alignment horizontal="left"/>
    </xf>
    <xf numFmtId="1" fontId="3" fillId="0" borderId="28" xfId="0" applyNumberFormat="1" applyFont="1" applyBorder="1" applyAlignment="1">
      <alignment horizontal="left"/>
    </xf>
    <xf numFmtId="1" fontId="3" fillId="0" borderId="27" xfId="0" applyNumberFormat="1" applyFont="1" applyBorder="1" applyAlignment="1">
      <alignment horizontal="left"/>
    </xf>
    <xf numFmtId="1" fontId="6" fillId="0" borderId="28" xfId="44" applyNumberFormat="1" applyFont="1" applyBorder="1" applyAlignment="1">
      <alignment horizontal="left"/>
    </xf>
    <xf numFmtId="1" fontId="6" fillId="0" borderId="27" xfId="44" applyNumberFormat="1" applyFont="1" applyBorder="1" applyAlignment="1">
      <alignment horizontal="left"/>
    </xf>
    <xf numFmtId="1" fontId="6" fillId="0" borderId="28" xfId="0" applyNumberFormat="1" applyFont="1" applyBorder="1" applyAlignment="1">
      <alignment horizontal="left"/>
    </xf>
    <xf numFmtId="1" fontId="6" fillId="0" borderId="27" xfId="0" applyNumberFormat="1" applyFont="1" applyBorder="1" applyAlignment="1">
      <alignment horizontal="left"/>
    </xf>
    <xf numFmtId="1" fontId="80" fillId="0" borderId="28" xfId="0" applyNumberFormat="1" applyFont="1" applyFill="1" applyBorder="1" applyAlignment="1">
      <alignment horizontal="left" vertical="top" wrapText="1"/>
    </xf>
    <xf numFmtId="1" fontId="80" fillId="0" borderId="27" xfId="0" applyNumberFormat="1" applyFont="1" applyFill="1" applyBorder="1" applyAlignment="1">
      <alignment horizontal="left" vertical="top" wrapText="1"/>
    </xf>
    <xf numFmtId="1" fontId="6" fillId="0" borderId="31" xfId="0" applyNumberFormat="1" applyFont="1" applyFill="1" applyBorder="1" applyAlignment="1">
      <alignment horizontal="left"/>
    </xf>
    <xf numFmtId="1" fontId="6" fillId="0" borderId="27" xfId="0" applyNumberFormat="1" applyFont="1" applyFill="1" applyBorder="1" applyAlignment="1">
      <alignment horizontal="left"/>
    </xf>
    <xf numFmtId="1" fontId="6" fillId="0" borderId="28" xfId="42" applyNumberFormat="1" applyFont="1" applyBorder="1" applyAlignment="1">
      <alignment horizontal="left"/>
    </xf>
    <xf numFmtId="1" fontId="81" fillId="0" borderId="29" xfId="0" applyNumberFormat="1" applyFont="1" applyBorder="1" applyAlignment="1">
      <alignment horizontal="left" vertical="center"/>
    </xf>
    <xf numFmtId="1" fontId="86" fillId="0" borderId="37" xfId="0" applyNumberFormat="1" applyFont="1" applyBorder="1" applyAlignment="1">
      <alignment horizontal="left"/>
    </xf>
    <xf numFmtId="0" fontId="90" fillId="0" borderId="79" xfId="0" applyFont="1" applyBorder="1" applyAlignment="1">
      <alignment horizontal="left" vertical="center"/>
    </xf>
    <xf numFmtId="2" fontId="91" fillId="0" borderId="14" xfId="0" applyNumberFormat="1" applyFont="1" applyFill="1" applyBorder="1" applyAlignment="1">
      <alignment horizontal="left"/>
    </xf>
    <xf numFmtId="2" fontId="91" fillId="0" borderId="14" xfId="42" applyNumberFormat="1" applyFont="1" applyBorder="1" applyAlignment="1">
      <alignment horizontal="left"/>
    </xf>
    <xf numFmtId="1" fontId="102" fillId="0" borderId="12" xfId="0" applyNumberFormat="1" applyFont="1" applyBorder="1" applyAlignment="1">
      <alignment horizontal="left"/>
    </xf>
    <xf numFmtId="3" fontId="89" fillId="0" borderId="13" xfId="0" applyNumberFormat="1" applyFont="1" applyBorder="1" applyAlignment="1">
      <alignment horizontal="left"/>
    </xf>
    <xf numFmtId="3" fontId="89" fillId="0" borderId="11" xfId="0" applyNumberFormat="1" applyFont="1" applyBorder="1" applyAlignment="1">
      <alignment horizontal="left"/>
    </xf>
    <xf numFmtId="3" fontId="89" fillId="0" borderId="12" xfId="0" applyNumberFormat="1" applyFont="1" applyBorder="1" applyAlignment="1">
      <alignment horizontal="left"/>
    </xf>
    <xf numFmtId="1" fontId="80" fillId="0" borderId="67" xfId="0" applyNumberFormat="1" applyFont="1" applyBorder="1" applyAlignment="1">
      <alignment horizontal="left"/>
    </xf>
    <xf numFmtId="1" fontId="105" fillId="0" borderId="66" xfId="0" applyNumberFormat="1" applyFont="1" applyBorder="1" applyAlignment="1">
      <alignment horizontal="left" vertical="justify" wrapText="1"/>
    </xf>
    <xf numFmtId="1" fontId="86" fillId="0" borderId="52" xfId="0" applyNumberFormat="1" applyFont="1" applyBorder="1" applyAlignment="1">
      <alignment horizontal="left" vertical="center"/>
    </xf>
    <xf numFmtId="1" fontId="85" fillId="0" borderId="14" xfId="0" applyNumberFormat="1" applyFont="1" applyBorder="1" applyAlignment="1">
      <alignment horizontal="left"/>
    </xf>
    <xf numFmtId="1" fontId="103" fillId="0" borderId="14" xfId="0" applyNumberFormat="1" applyFont="1" applyBorder="1" applyAlignment="1">
      <alignment horizontal="left"/>
    </xf>
    <xf numFmtId="1" fontId="85" fillId="0" borderId="66" xfId="0" applyNumberFormat="1" applyFont="1" applyBorder="1" applyAlignment="1">
      <alignment horizontal="left"/>
    </xf>
    <xf numFmtId="1" fontId="86" fillId="0" borderId="24" xfId="0" applyNumberFormat="1" applyFont="1" applyBorder="1" applyAlignment="1">
      <alignment horizontal="left" vertical="center"/>
    </xf>
    <xf numFmtId="0" fontId="87" fillId="0" borderId="80" xfId="0" applyFont="1" applyBorder="1" applyAlignment="1">
      <alignment horizontal="center" vertical="center"/>
    </xf>
    <xf numFmtId="0" fontId="88" fillId="0" borderId="81" xfId="0" applyFont="1" applyBorder="1" applyAlignment="1">
      <alignment horizontal="left"/>
    </xf>
    <xf numFmtId="0" fontId="85" fillId="0" borderId="81" xfId="0" applyFont="1" applyBorder="1" applyAlignment="1">
      <alignment/>
    </xf>
    <xf numFmtId="2" fontId="86" fillId="0" borderId="32" xfId="0" applyNumberFormat="1" applyFont="1" applyBorder="1" applyAlignment="1">
      <alignment horizontal="right"/>
    </xf>
    <xf numFmtId="2" fontId="86" fillId="0" borderId="43" xfId="0" applyNumberFormat="1" applyFont="1" applyBorder="1" applyAlignment="1">
      <alignment horizontal="right"/>
    </xf>
    <xf numFmtId="2" fontId="80" fillId="0" borderId="32" xfId="0" applyNumberFormat="1" applyFont="1" applyBorder="1" applyAlignment="1">
      <alignment horizontal="right"/>
    </xf>
    <xf numFmtId="2" fontId="91" fillId="0" borderId="32" xfId="0" applyNumberFormat="1" applyFont="1" applyBorder="1" applyAlignment="1">
      <alignment horizontal="left"/>
    </xf>
    <xf numFmtId="2" fontId="86" fillId="0" borderId="32" xfId="42" applyNumberFormat="1" applyFont="1" applyBorder="1" applyAlignment="1">
      <alignment horizontal="right"/>
    </xf>
    <xf numFmtId="2" fontId="86" fillId="0" borderId="32" xfId="0" applyNumberFormat="1" applyFont="1" applyBorder="1" applyAlignment="1">
      <alignment horizontal="right" wrapText="1"/>
    </xf>
    <xf numFmtId="3" fontId="88" fillId="0" borderId="32" xfId="0" applyNumberFormat="1" applyFont="1" applyBorder="1" applyAlignment="1">
      <alignment horizontal="right"/>
    </xf>
    <xf numFmtId="2" fontId="86" fillId="0" borderId="32" xfId="0" applyNumberFormat="1" applyFont="1" applyFill="1" applyBorder="1" applyAlignment="1">
      <alignment horizontal="right"/>
    </xf>
    <xf numFmtId="2" fontId="87" fillId="0" borderId="32" xfId="0" applyNumberFormat="1" applyFont="1" applyBorder="1" applyAlignment="1">
      <alignment horizontal="right"/>
    </xf>
    <xf numFmtId="0" fontId="107" fillId="0" borderId="74" xfId="0" applyFont="1" applyBorder="1" applyAlignment="1">
      <alignment horizontal="center" vertical="center"/>
    </xf>
    <xf numFmtId="2" fontId="80" fillId="0" borderId="79" xfId="0" applyNumberFormat="1" applyFont="1" applyBorder="1" applyAlignment="1">
      <alignment horizontal="left"/>
    </xf>
    <xf numFmtId="1" fontId="81" fillId="0" borderId="66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0" fontId="109" fillId="0" borderId="52" xfId="0" applyFont="1" applyBorder="1" applyAlignment="1">
      <alignment horizontal="left"/>
    </xf>
    <xf numFmtId="1" fontId="89" fillId="0" borderId="15" xfId="0" applyNumberFormat="1" applyFont="1" applyBorder="1" applyAlignment="1">
      <alignment horizontal="left"/>
    </xf>
    <xf numFmtId="1" fontId="89" fillId="0" borderId="17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left"/>
    </xf>
    <xf numFmtId="1" fontId="89" fillId="0" borderId="12" xfId="0" applyNumberFormat="1" applyFont="1" applyBorder="1" applyAlignment="1">
      <alignment horizontal="left"/>
    </xf>
    <xf numFmtId="1" fontId="81" fillId="0" borderId="0" xfId="0" applyNumberFormat="1" applyFont="1" applyAlignment="1">
      <alignment horizontal="left"/>
    </xf>
    <xf numFmtId="1" fontId="81" fillId="0" borderId="11" xfId="44" applyNumberFormat="1" applyFont="1" applyBorder="1" applyAlignment="1">
      <alignment horizontal="left"/>
    </xf>
    <xf numFmtId="1" fontId="81" fillId="0" borderId="14" xfId="44" applyNumberFormat="1" applyFont="1" applyBorder="1" applyAlignment="1">
      <alignment horizontal="left"/>
    </xf>
    <xf numFmtId="1" fontId="81" fillId="0" borderId="11" xfId="0" applyNumberFormat="1" applyFont="1" applyFill="1" applyBorder="1" applyAlignment="1">
      <alignment horizontal="left"/>
    </xf>
    <xf numFmtId="1" fontId="81" fillId="0" borderId="12" xfId="0" applyNumberFormat="1" applyFont="1" applyFill="1" applyBorder="1" applyAlignment="1">
      <alignment horizontal="left"/>
    </xf>
    <xf numFmtId="1" fontId="81" fillId="0" borderId="37" xfId="0" applyNumberFormat="1" applyFont="1" applyBorder="1" applyAlignment="1">
      <alignment horizontal="left" vertical="center"/>
    </xf>
    <xf numFmtId="1" fontId="81" fillId="0" borderId="19" xfId="0" applyNumberFormat="1" applyFont="1" applyBorder="1" applyAlignment="1">
      <alignment horizontal="left" vertical="center"/>
    </xf>
    <xf numFmtId="0" fontId="95" fillId="0" borderId="20" xfId="0" applyFont="1" applyBorder="1" applyAlignment="1">
      <alignment horizontal="left"/>
    </xf>
    <xf numFmtId="0" fontId="95" fillId="0" borderId="21" xfId="0" applyFont="1" applyBorder="1" applyAlignment="1">
      <alignment horizontal="left"/>
    </xf>
    <xf numFmtId="0" fontId="95" fillId="0" borderId="68" xfId="0" applyFont="1" applyBorder="1" applyAlignment="1">
      <alignment horizontal="left"/>
    </xf>
    <xf numFmtId="1" fontId="80" fillId="0" borderId="19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" fontId="3" fillId="0" borderId="61" xfId="0" applyNumberFormat="1" applyFont="1" applyBorder="1" applyAlignment="1">
      <alignment horizontal="left" vertical="center"/>
    </xf>
    <xf numFmtId="1" fontId="3" fillId="0" borderId="62" xfId="0" applyNumberFormat="1" applyFont="1" applyBorder="1" applyAlignment="1">
      <alignment horizontal="left" vertical="center"/>
    </xf>
    <xf numFmtId="1" fontId="6" fillId="0" borderId="61" xfId="0" applyNumberFormat="1" applyFont="1" applyBorder="1" applyAlignment="1">
      <alignment horizontal="left"/>
    </xf>
    <xf numFmtId="1" fontId="6" fillId="0" borderId="62" xfId="0" applyNumberFormat="1" applyFont="1" applyBorder="1" applyAlignment="1">
      <alignment horizontal="left"/>
    </xf>
    <xf numFmtId="1" fontId="6" fillId="0" borderId="82" xfId="0" applyNumberFormat="1" applyFont="1" applyBorder="1" applyAlignment="1">
      <alignment horizontal="left"/>
    </xf>
    <xf numFmtId="1" fontId="3" fillId="0" borderId="63" xfId="0" applyNumberFormat="1" applyFont="1" applyBorder="1" applyAlignment="1">
      <alignment horizontal="left"/>
    </xf>
    <xf numFmtId="1" fontId="3" fillId="0" borderId="61" xfId="0" applyNumberFormat="1" applyFont="1" applyBorder="1" applyAlignment="1">
      <alignment horizontal="left"/>
    </xf>
    <xf numFmtId="1" fontId="3" fillId="0" borderId="62" xfId="0" applyNumberFormat="1" applyFont="1" applyBorder="1" applyAlignment="1">
      <alignment horizontal="left"/>
    </xf>
    <xf numFmtId="2" fontId="6" fillId="0" borderId="62" xfId="0" applyNumberFormat="1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1" fontId="6" fillId="0" borderId="61" xfId="0" applyNumberFormat="1" applyFont="1" applyFill="1" applyBorder="1" applyAlignment="1">
      <alignment horizontal="left"/>
    </xf>
    <xf numFmtId="1" fontId="6" fillId="0" borderId="62" xfId="0" applyNumberFormat="1" applyFont="1" applyFill="1" applyBorder="1" applyAlignment="1">
      <alignment horizontal="left"/>
    </xf>
    <xf numFmtId="1" fontId="6" fillId="0" borderId="61" xfId="42" applyNumberFormat="1" applyFont="1" applyBorder="1" applyAlignment="1">
      <alignment horizontal="left"/>
    </xf>
    <xf numFmtId="1" fontId="6" fillId="0" borderId="62" xfId="42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" fontId="81" fillId="0" borderId="28" xfId="0" applyNumberFormat="1" applyFont="1" applyBorder="1" applyAlignment="1">
      <alignment horizontal="left" vertical="center"/>
    </xf>
    <xf numFmtId="1" fontId="81" fillId="0" borderId="27" xfId="0" applyNumberFormat="1" applyFont="1" applyBorder="1" applyAlignment="1">
      <alignment horizontal="left" vertical="center"/>
    </xf>
    <xf numFmtId="1" fontId="95" fillId="0" borderId="83" xfId="0" applyNumberFormat="1" applyFont="1" applyBorder="1" applyAlignment="1">
      <alignment horizontal="left" vertical="center"/>
    </xf>
    <xf numFmtId="1" fontId="95" fillId="0" borderId="72" xfId="0" applyNumberFormat="1" applyFont="1" applyBorder="1" applyAlignment="1">
      <alignment horizontal="left" vertical="center"/>
    </xf>
    <xf numFmtId="1" fontId="81" fillId="0" borderId="28" xfId="0" applyNumberFormat="1" applyFont="1" applyBorder="1" applyAlignment="1">
      <alignment horizontal="left"/>
    </xf>
    <xf numFmtId="1" fontId="81" fillId="0" borderId="27" xfId="0" applyNumberFormat="1" applyFont="1" applyBorder="1" applyAlignment="1">
      <alignment horizontal="left"/>
    </xf>
    <xf numFmtId="1" fontId="81" fillId="0" borderId="28" xfId="44" applyNumberFormat="1" applyFont="1" applyBorder="1" applyAlignment="1">
      <alignment horizontal="left"/>
    </xf>
    <xf numFmtId="1" fontId="81" fillId="0" borderId="31" xfId="44" applyNumberFormat="1" applyFont="1" applyBorder="1" applyAlignment="1">
      <alignment horizontal="left"/>
    </xf>
    <xf numFmtId="1" fontId="89" fillId="0" borderId="28" xfId="0" applyNumberFormat="1" applyFont="1" applyBorder="1" applyAlignment="1">
      <alignment horizontal="left"/>
    </xf>
    <xf numFmtId="1" fontId="89" fillId="0" borderId="27" xfId="0" applyNumberFormat="1" applyFont="1" applyBorder="1" applyAlignment="1">
      <alignment horizontal="left"/>
    </xf>
    <xf numFmtId="1" fontId="81" fillId="0" borderId="28" xfId="0" applyNumberFormat="1" applyFont="1" applyFill="1" applyBorder="1" applyAlignment="1">
      <alignment horizontal="left"/>
    </xf>
    <xf numFmtId="1" fontId="81" fillId="0" borderId="27" xfId="0" applyNumberFormat="1" applyFont="1" applyFill="1" applyBorder="1" applyAlignment="1">
      <alignment horizontal="left"/>
    </xf>
    <xf numFmtId="1" fontId="81" fillId="0" borderId="28" xfId="42" applyNumberFormat="1" applyFont="1" applyBorder="1" applyAlignment="1">
      <alignment horizontal="left"/>
    </xf>
    <xf numFmtId="1" fontId="81" fillId="0" borderId="27" xfId="42" applyNumberFormat="1" applyFont="1" applyBorder="1" applyAlignment="1">
      <alignment horizontal="left"/>
    </xf>
    <xf numFmtId="1" fontId="81" fillId="0" borderId="61" xfId="0" applyNumberFormat="1" applyFont="1" applyBorder="1" applyAlignment="1">
      <alignment horizontal="left" vertical="center"/>
    </xf>
    <xf numFmtId="1" fontId="81" fillId="0" borderId="62" xfId="0" applyNumberFormat="1" applyFont="1" applyBorder="1" applyAlignment="1">
      <alignment horizontal="left" vertical="center"/>
    </xf>
    <xf numFmtId="1" fontId="80" fillId="0" borderId="61" xfId="0" applyNumberFormat="1" applyFont="1" applyBorder="1" applyAlignment="1">
      <alignment horizontal="left"/>
    </xf>
    <xf numFmtId="1" fontId="80" fillId="0" borderId="62" xfId="0" applyNumberFormat="1" applyFont="1" applyBorder="1" applyAlignment="1">
      <alignment horizontal="left"/>
    </xf>
    <xf numFmtId="2" fontId="80" fillId="0" borderId="61" xfId="0" applyNumberFormat="1" applyFont="1" applyBorder="1" applyAlignment="1">
      <alignment horizontal="left"/>
    </xf>
    <xf numFmtId="2" fontId="80" fillId="0" borderId="62" xfId="0" applyNumberFormat="1" applyFont="1" applyBorder="1" applyAlignment="1">
      <alignment horizontal="left"/>
    </xf>
    <xf numFmtId="1" fontId="80" fillId="0" borderId="84" xfId="0" applyNumberFormat="1" applyFont="1" applyBorder="1" applyAlignment="1">
      <alignment horizontal="left"/>
    </xf>
    <xf numFmtId="0" fontId="80" fillId="0" borderId="61" xfId="0" applyFont="1" applyBorder="1" applyAlignment="1">
      <alignment horizontal="left"/>
    </xf>
    <xf numFmtId="0" fontId="80" fillId="0" borderId="62" xfId="0" applyFont="1" applyBorder="1" applyAlignment="1">
      <alignment horizontal="left"/>
    </xf>
    <xf numFmtId="0" fontId="83" fillId="0" borderId="61" xfId="0" applyFont="1" applyBorder="1" applyAlignment="1">
      <alignment horizontal="left"/>
    </xf>
    <xf numFmtId="0" fontId="83" fillId="0" borderId="62" xfId="0" applyFont="1" applyBorder="1" applyAlignment="1">
      <alignment horizontal="left"/>
    </xf>
    <xf numFmtId="1" fontId="80" fillId="0" borderId="61" xfId="0" applyNumberFormat="1" applyFont="1" applyFill="1" applyBorder="1" applyAlignment="1">
      <alignment horizontal="left"/>
    </xf>
    <xf numFmtId="1" fontId="80" fillId="0" borderId="62" xfId="0" applyNumberFormat="1" applyFont="1" applyFill="1" applyBorder="1" applyAlignment="1">
      <alignment horizontal="left"/>
    </xf>
    <xf numFmtId="1" fontId="80" fillId="0" borderId="61" xfId="42" applyNumberFormat="1" applyFont="1" applyBorder="1" applyAlignment="1">
      <alignment horizontal="left"/>
    </xf>
    <xf numFmtId="1" fontId="80" fillId="0" borderId="62" xfId="42" applyNumberFormat="1" applyFont="1" applyBorder="1" applyAlignment="1">
      <alignment horizontal="left"/>
    </xf>
    <xf numFmtId="1" fontId="81" fillId="0" borderId="63" xfId="0" applyNumberFormat="1" applyFont="1" applyBorder="1" applyAlignment="1">
      <alignment horizontal="left" vertical="center"/>
    </xf>
    <xf numFmtId="1" fontId="81" fillId="0" borderId="22" xfId="0" applyNumberFormat="1" applyFont="1" applyBorder="1" applyAlignment="1">
      <alignment horizontal="left" vertical="center"/>
    </xf>
    <xf numFmtId="0" fontId="85" fillId="0" borderId="26" xfId="0" applyFont="1" applyBorder="1" applyAlignment="1">
      <alignment horizontal="left"/>
    </xf>
    <xf numFmtId="0" fontId="85" fillId="0" borderId="24" xfId="0" applyFont="1" applyBorder="1" applyAlignment="1">
      <alignment horizontal="left"/>
    </xf>
    <xf numFmtId="0" fontId="85" fillId="0" borderId="42" xfId="0" applyFont="1" applyBorder="1" applyAlignment="1">
      <alignment horizontal="left"/>
    </xf>
    <xf numFmtId="0" fontId="85" fillId="0" borderId="85" xfId="0" applyFont="1" applyBorder="1" applyAlignment="1">
      <alignment horizontal="left"/>
    </xf>
    <xf numFmtId="0" fontId="85" fillId="0" borderId="86" xfId="0" applyFont="1" applyBorder="1" applyAlignment="1">
      <alignment horizontal="left"/>
    </xf>
    <xf numFmtId="0" fontId="85" fillId="0" borderId="25" xfId="0" applyFont="1" applyBorder="1" applyAlignment="1">
      <alignment horizontal="left"/>
    </xf>
    <xf numFmtId="0" fontId="86" fillId="0" borderId="26" xfId="0" applyFont="1" applyBorder="1" applyAlignment="1">
      <alignment horizontal="left"/>
    </xf>
    <xf numFmtId="0" fontId="5" fillId="0" borderId="0" xfId="0" applyFont="1" applyAlignment="1">
      <alignment horizontal="center" vertical="justify" wrapText="1"/>
    </xf>
    <xf numFmtId="1" fontId="81" fillId="0" borderId="78" xfId="0" applyNumberFormat="1" applyFont="1" applyBorder="1" applyAlignment="1">
      <alignment horizontal="left" vertical="center"/>
    </xf>
    <xf numFmtId="0" fontId="87" fillId="0" borderId="19" xfId="0" applyFont="1" applyBorder="1" applyAlignment="1">
      <alignment vertical="center"/>
    </xf>
    <xf numFmtId="2" fontId="86" fillId="0" borderId="26" xfId="0" applyNumberFormat="1" applyFont="1" applyBorder="1" applyAlignment="1">
      <alignment vertical="center"/>
    </xf>
    <xf numFmtId="2" fontId="87" fillId="0" borderId="26" xfId="0" applyNumberFormat="1" applyFont="1" applyBorder="1" applyAlignment="1">
      <alignment vertical="center"/>
    </xf>
    <xf numFmtId="2" fontId="86" fillId="0" borderId="32" xfId="0" applyNumberFormat="1" applyFont="1" applyBorder="1" applyAlignment="1">
      <alignment vertical="center"/>
    </xf>
    <xf numFmtId="2" fontId="86" fillId="0" borderId="22" xfId="0" applyNumberFormat="1" applyFont="1" applyBorder="1" applyAlignment="1">
      <alignment horizontal="right"/>
    </xf>
    <xf numFmtId="1" fontId="81" fillId="0" borderId="74" xfId="0" applyNumberFormat="1" applyFont="1" applyBorder="1" applyAlignment="1">
      <alignment vertical="center"/>
    </xf>
    <xf numFmtId="1" fontId="81" fillId="0" borderId="7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 wrapText="1"/>
    </xf>
    <xf numFmtId="1" fontId="105" fillId="0" borderId="70" xfId="0" applyNumberFormat="1" applyFont="1" applyBorder="1" applyAlignment="1">
      <alignment horizontal="left" vertical="center"/>
    </xf>
    <xf numFmtId="1" fontId="92" fillId="0" borderId="12" xfId="0" applyNumberFormat="1" applyFont="1" applyBorder="1" applyAlignment="1">
      <alignment horizontal="left"/>
    </xf>
    <xf numFmtId="1" fontId="91" fillId="0" borderId="77" xfId="0" applyNumberFormat="1" applyFont="1" applyBorder="1" applyAlignment="1">
      <alignment horizontal="left"/>
    </xf>
    <xf numFmtId="1" fontId="91" fillId="0" borderId="13" xfId="42" applyNumberFormat="1" applyFont="1" applyBorder="1" applyAlignment="1">
      <alignment horizontal="left"/>
    </xf>
    <xf numFmtId="1" fontId="91" fillId="0" borderId="29" xfId="42" applyNumberFormat="1" applyFont="1" applyBorder="1" applyAlignment="1">
      <alignment horizontal="left"/>
    </xf>
    <xf numFmtId="1" fontId="91" fillId="0" borderId="48" xfId="0" applyNumberFormat="1" applyFont="1" applyBorder="1" applyAlignment="1">
      <alignment horizontal="left"/>
    </xf>
    <xf numFmtId="0" fontId="90" fillId="0" borderId="82" xfId="0" applyFont="1" applyBorder="1" applyAlignment="1">
      <alignment horizontal="left" vertical="center"/>
    </xf>
    <xf numFmtId="0" fontId="90" fillId="0" borderId="40" xfId="0" applyFont="1" applyBorder="1" applyAlignment="1">
      <alignment horizontal="left" vertical="center"/>
    </xf>
    <xf numFmtId="2" fontId="91" fillId="0" borderId="30" xfId="0" applyNumberFormat="1" applyFont="1" applyBorder="1" applyAlignment="1">
      <alignment horizontal="left"/>
    </xf>
    <xf numFmtId="0" fontId="91" fillId="0" borderId="78" xfId="0" applyFont="1" applyBorder="1" applyAlignment="1">
      <alignment horizontal="left"/>
    </xf>
    <xf numFmtId="2" fontId="90" fillId="0" borderId="10" xfId="0" applyNumberFormat="1" applyFont="1" applyBorder="1" applyAlignment="1">
      <alignment horizontal="left"/>
    </xf>
    <xf numFmtId="0" fontId="91" fillId="0" borderId="77" xfId="0" applyFont="1" applyBorder="1" applyAlignment="1">
      <alignment horizontal="left"/>
    </xf>
    <xf numFmtId="0" fontId="92" fillId="0" borderId="81" xfId="0" applyFont="1" applyBorder="1" applyAlignment="1">
      <alignment horizontal="left"/>
    </xf>
    <xf numFmtId="2" fontId="91" fillId="0" borderId="10" xfId="0" applyNumberFormat="1" applyFont="1" applyBorder="1" applyAlignment="1">
      <alignment horizontal="left" vertical="center"/>
    </xf>
    <xf numFmtId="2" fontId="90" fillId="0" borderId="10" xfId="0" applyNumberFormat="1" applyFont="1" applyBorder="1" applyAlignment="1">
      <alignment horizontal="left" vertical="center"/>
    </xf>
    <xf numFmtId="2" fontId="91" fillId="0" borderId="30" xfId="0" applyNumberFormat="1" applyFont="1" applyBorder="1" applyAlignment="1">
      <alignment horizontal="left" vertical="center"/>
    </xf>
    <xf numFmtId="0" fontId="91" fillId="0" borderId="71" xfId="0" applyFont="1" applyBorder="1" applyAlignment="1">
      <alignment horizontal="left"/>
    </xf>
    <xf numFmtId="0" fontId="83" fillId="0" borderId="85" xfId="0" applyFont="1" applyBorder="1" applyAlignment="1">
      <alignment horizontal="left"/>
    </xf>
    <xf numFmtId="0" fontId="83" fillId="0" borderId="26" xfId="0" applyFont="1" applyBorder="1" applyAlignment="1">
      <alignment horizontal="left"/>
    </xf>
    <xf numFmtId="0" fontId="101" fillId="0" borderId="56" xfId="0" applyFont="1" applyBorder="1" applyAlignment="1">
      <alignment horizontal="left"/>
    </xf>
    <xf numFmtId="0" fontId="85" fillId="0" borderId="51" xfId="0" applyFont="1" applyBorder="1" applyAlignment="1">
      <alignment horizontal="left"/>
    </xf>
    <xf numFmtId="0" fontId="85" fillId="0" borderId="52" xfId="0" applyFont="1" applyBorder="1" applyAlignment="1">
      <alignment horizontal="left"/>
    </xf>
    <xf numFmtId="0" fontId="85" fillId="0" borderId="10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85" fillId="0" borderId="36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1" fontId="105" fillId="0" borderId="71" xfId="0" applyNumberFormat="1" applyFont="1" applyBorder="1" applyAlignment="1">
      <alignment horizontal="center" vertical="justify" wrapText="1"/>
    </xf>
    <xf numFmtId="1" fontId="105" fillId="0" borderId="75" xfId="0" applyNumberFormat="1" applyFont="1" applyBorder="1" applyAlignment="1">
      <alignment horizontal="center" vertical="justify" wrapText="1"/>
    </xf>
    <xf numFmtId="1" fontId="105" fillId="0" borderId="65" xfId="0" applyNumberFormat="1" applyFont="1" applyBorder="1" applyAlignment="1">
      <alignment horizontal="center" vertical="justify" wrapText="1"/>
    </xf>
    <xf numFmtId="0" fontId="85" fillId="0" borderId="16" xfId="0" applyFont="1" applyBorder="1" applyAlignment="1">
      <alignment/>
    </xf>
    <xf numFmtId="0" fontId="85" fillId="0" borderId="53" xfId="0" applyFont="1" applyBorder="1" applyAlignment="1">
      <alignment/>
    </xf>
    <xf numFmtId="2" fontId="86" fillId="0" borderId="18" xfId="0" applyNumberFormat="1" applyFont="1" applyFill="1" applyBorder="1" applyAlignment="1">
      <alignment horizontal="left"/>
    </xf>
    <xf numFmtId="2" fontId="86" fillId="0" borderId="13" xfId="0" applyNumberFormat="1" applyFont="1" applyFill="1" applyBorder="1" applyAlignment="1">
      <alignment horizontal="left"/>
    </xf>
    <xf numFmtId="2" fontId="86" fillId="0" borderId="29" xfId="0" applyNumberFormat="1" applyFont="1" applyFill="1" applyBorder="1" applyAlignment="1">
      <alignment horizontal="left"/>
    </xf>
    <xf numFmtId="2" fontId="86" fillId="0" borderId="48" xfId="0" applyNumberFormat="1" applyFont="1" applyFill="1" applyBorder="1" applyAlignment="1">
      <alignment horizontal="left"/>
    </xf>
    <xf numFmtId="164" fontId="88" fillId="0" borderId="36" xfId="0" applyNumberFormat="1" applyFont="1" applyBorder="1" applyAlignment="1">
      <alignment horizontal="left"/>
    </xf>
    <xf numFmtId="164" fontId="88" fillId="0" borderId="17" xfId="0" applyNumberFormat="1" applyFont="1" applyBorder="1" applyAlignment="1">
      <alignment horizontal="left"/>
    </xf>
    <xf numFmtId="3" fontId="88" fillId="0" borderId="10" xfId="0" applyNumberFormat="1" applyFont="1" applyBorder="1" applyAlignment="1">
      <alignment horizontal="left"/>
    </xf>
    <xf numFmtId="164" fontId="88" fillId="0" borderId="10" xfId="0" applyNumberFormat="1" applyFont="1" applyBorder="1" applyAlignment="1">
      <alignment horizontal="left"/>
    </xf>
    <xf numFmtId="164" fontId="88" fillId="0" borderId="12" xfId="0" applyNumberFormat="1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8" fillId="0" borderId="12" xfId="0" applyFont="1" applyBorder="1" applyAlignment="1">
      <alignment horizontal="left"/>
    </xf>
    <xf numFmtId="164" fontId="88" fillId="0" borderId="30" xfId="0" applyNumberFormat="1" applyFont="1" applyBorder="1" applyAlignment="1">
      <alignment horizontal="left"/>
    </xf>
    <xf numFmtId="164" fontId="88" fillId="0" borderId="27" xfId="0" applyNumberFormat="1" applyFont="1" applyBorder="1" applyAlignment="1">
      <alignment horizontal="left"/>
    </xf>
    <xf numFmtId="2" fontId="80" fillId="0" borderId="18" xfId="44" applyNumberFormat="1" applyFont="1" applyBorder="1" applyAlignment="1">
      <alignment horizontal="left"/>
    </xf>
    <xf numFmtId="2" fontId="80" fillId="0" borderId="13" xfId="44" applyNumberFormat="1" applyFont="1" applyBorder="1" applyAlignment="1">
      <alignment horizontal="left"/>
    </xf>
    <xf numFmtId="2" fontId="6" fillId="0" borderId="63" xfId="0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/>
    </xf>
    <xf numFmtId="1" fontId="80" fillId="0" borderId="59" xfId="0" applyNumberFormat="1" applyFont="1" applyBorder="1" applyAlignment="1">
      <alignment horizontal="left"/>
    </xf>
    <xf numFmtId="1" fontId="80" fillId="0" borderId="39" xfId="0" applyNumberFormat="1" applyFont="1" applyBorder="1" applyAlignment="1">
      <alignment horizontal="left"/>
    </xf>
    <xf numFmtId="2" fontId="80" fillId="0" borderId="15" xfId="42" applyNumberFormat="1" applyFont="1" applyBorder="1" applyAlignment="1">
      <alignment horizontal="left"/>
    </xf>
    <xf numFmtId="2" fontId="80" fillId="0" borderId="17" xfId="42" applyNumberFormat="1" applyFont="1" applyBorder="1" applyAlignment="1">
      <alignment horizontal="left"/>
    </xf>
    <xf numFmtId="0" fontId="90" fillId="0" borderId="0" xfId="0" applyFont="1" applyAlignment="1">
      <alignment/>
    </xf>
    <xf numFmtId="0" fontId="80" fillId="0" borderId="0" xfId="0" applyFont="1" applyAlignment="1">
      <alignment horizontal="justify" vertical="justify" wrapText="1"/>
    </xf>
    <xf numFmtId="0" fontId="80" fillId="0" borderId="0" xfId="0" applyFont="1" applyAlignment="1">
      <alignment horizontal="center" vertical="justify" wrapText="1"/>
    </xf>
    <xf numFmtId="0" fontId="11" fillId="0" borderId="0" xfId="0" applyFont="1" applyAlignment="1">
      <alignment horizontal="justify" vertical="justify" wrapText="1"/>
    </xf>
    <xf numFmtId="0" fontId="85" fillId="0" borderId="0" xfId="0" applyFont="1" applyAlignment="1">
      <alignment horizontal="justify" vertical="justify" wrapText="1"/>
    </xf>
    <xf numFmtId="1" fontId="90" fillId="0" borderId="52" xfId="0" applyNumberFormat="1" applyFont="1" applyBorder="1" applyAlignment="1">
      <alignment horizontal="left"/>
    </xf>
    <xf numFmtId="1" fontId="105" fillId="0" borderId="53" xfId="0" applyNumberFormat="1" applyFont="1" applyBorder="1" applyAlignment="1">
      <alignment horizontal="left"/>
    </xf>
    <xf numFmtId="2" fontId="91" fillId="0" borderId="10" xfId="42" applyNumberFormat="1" applyFont="1" applyBorder="1" applyAlignment="1">
      <alignment horizontal="left"/>
    </xf>
    <xf numFmtId="1" fontId="105" fillId="0" borderId="41" xfId="42" applyNumberFormat="1" applyFont="1" applyBorder="1" applyAlignment="1">
      <alignment horizontal="left"/>
    </xf>
    <xf numFmtId="0" fontId="91" fillId="0" borderId="36" xfId="0" applyFont="1" applyBorder="1" applyAlignment="1">
      <alignment horizontal="left"/>
    </xf>
    <xf numFmtId="1" fontId="90" fillId="0" borderId="52" xfId="42" applyNumberFormat="1" applyFont="1" applyBorder="1" applyAlignment="1">
      <alignment horizontal="left"/>
    </xf>
    <xf numFmtId="1" fontId="90" fillId="0" borderId="25" xfId="42" applyNumberFormat="1" applyFont="1" applyBorder="1" applyAlignment="1">
      <alignment horizontal="left"/>
    </xf>
    <xf numFmtId="1" fontId="91" fillId="0" borderId="36" xfId="0" applyNumberFormat="1" applyFont="1" applyBorder="1" applyAlignment="1">
      <alignment horizontal="left"/>
    </xf>
    <xf numFmtId="1" fontId="90" fillId="0" borderId="30" xfId="0" applyNumberFormat="1" applyFont="1" applyBorder="1" applyAlignment="1">
      <alignment horizontal="left"/>
    </xf>
    <xf numFmtId="1" fontId="90" fillId="0" borderId="71" xfId="0" applyNumberFormat="1" applyFont="1" applyBorder="1" applyAlignment="1">
      <alignment horizontal="left"/>
    </xf>
    <xf numFmtId="1" fontId="90" fillId="0" borderId="72" xfId="0" applyNumberFormat="1" applyFont="1" applyBorder="1" applyAlignment="1">
      <alignment horizontal="left"/>
    </xf>
    <xf numFmtId="1" fontId="91" fillId="0" borderId="0" xfId="0" applyNumberFormat="1" applyFont="1" applyAlignment="1">
      <alignment horizontal="justify" vertical="justify" wrapText="1"/>
    </xf>
    <xf numFmtId="1" fontId="91" fillId="0" borderId="13" xfId="0" applyNumberFormat="1" applyFont="1" applyBorder="1" applyAlignment="1">
      <alignment horizontal="left" vertical="center"/>
    </xf>
    <xf numFmtId="1" fontId="105" fillId="0" borderId="69" xfId="0" applyNumberFormat="1" applyFont="1" applyBorder="1" applyAlignment="1">
      <alignment horizontal="left" vertical="center"/>
    </xf>
    <xf numFmtId="1" fontId="88" fillId="0" borderId="24" xfId="0" applyNumberFormat="1" applyFont="1" applyBorder="1" applyAlignment="1">
      <alignment horizontal="left"/>
    </xf>
    <xf numFmtId="1" fontId="92" fillId="0" borderId="24" xfId="0" applyNumberFormat="1" applyFont="1" applyBorder="1" applyAlignment="1">
      <alignment horizontal="left"/>
    </xf>
    <xf numFmtId="1" fontId="88" fillId="0" borderId="43" xfId="0" applyNumberFormat="1" applyFont="1" applyBorder="1" applyAlignment="1">
      <alignment horizontal="left"/>
    </xf>
    <xf numFmtId="1" fontId="101" fillId="0" borderId="68" xfId="0" applyNumberFormat="1" applyFont="1" applyBorder="1" applyAlignment="1">
      <alignment horizontal="left"/>
    </xf>
    <xf numFmtId="1" fontId="88" fillId="0" borderId="42" xfId="0" applyNumberFormat="1" applyFont="1" applyBorder="1" applyAlignment="1">
      <alignment horizontal="left"/>
    </xf>
    <xf numFmtId="0" fontId="110" fillId="0" borderId="52" xfId="0" applyFont="1" applyBorder="1" applyAlignment="1">
      <alignment horizontal="left"/>
    </xf>
    <xf numFmtId="0" fontId="95" fillId="0" borderId="66" xfId="0" applyFont="1" applyBorder="1" applyAlignment="1">
      <alignment horizontal="left"/>
    </xf>
    <xf numFmtId="2" fontId="87" fillId="0" borderId="64" xfId="0" applyNumberFormat="1" applyFont="1" applyBorder="1" applyAlignment="1">
      <alignment horizontal="left"/>
    </xf>
    <xf numFmtId="2" fontId="87" fillId="0" borderId="25" xfId="0" applyNumberFormat="1" applyFont="1" applyBorder="1" applyAlignment="1">
      <alignment horizontal="left"/>
    </xf>
    <xf numFmtId="2" fontId="87" fillId="0" borderId="73" xfId="0" applyNumberFormat="1" applyFont="1" applyBorder="1" applyAlignment="1">
      <alignment horizontal="left"/>
    </xf>
    <xf numFmtId="2" fontId="99" fillId="0" borderId="57" xfId="0" applyNumberFormat="1" applyFont="1" applyBorder="1" applyAlignment="1">
      <alignment horizontal="left"/>
    </xf>
    <xf numFmtId="2" fontId="87" fillId="0" borderId="57" xfId="0" applyNumberFormat="1" applyFont="1" applyBorder="1" applyAlignment="1">
      <alignment horizontal="left"/>
    </xf>
    <xf numFmtId="2" fontId="99" fillId="0" borderId="70" xfId="0" applyNumberFormat="1" applyFont="1" applyBorder="1" applyAlignment="1">
      <alignment horizontal="left"/>
    </xf>
    <xf numFmtId="0" fontId="95" fillId="0" borderId="41" xfId="0" applyFont="1" applyBorder="1" applyAlignment="1">
      <alignment horizontal="left"/>
    </xf>
    <xf numFmtId="2" fontId="86" fillId="0" borderId="36" xfId="42" applyNumberFormat="1" applyFont="1" applyBorder="1" applyAlignment="1">
      <alignment horizontal="left"/>
    </xf>
    <xf numFmtId="2" fontId="99" fillId="0" borderId="49" xfId="42" applyNumberFormat="1" applyFont="1" applyBorder="1" applyAlignment="1">
      <alignment horizontal="left"/>
    </xf>
    <xf numFmtId="0" fontId="85" fillId="0" borderId="54" xfId="0" applyFont="1" applyBorder="1" applyAlignment="1">
      <alignment horizontal="left"/>
    </xf>
    <xf numFmtId="0" fontId="87" fillId="0" borderId="60" xfId="0" applyFont="1" applyBorder="1" applyAlignment="1">
      <alignment horizontal="left" vertical="center"/>
    </xf>
    <xf numFmtId="2" fontId="86" fillId="0" borderId="24" xfId="0" applyNumberFormat="1" applyFont="1" applyBorder="1" applyAlignment="1">
      <alignment horizontal="left" vertical="center"/>
    </xf>
    <xf numFmtId="2" fontId="87" fillId="0" borderId="24" xfId="0" applyNumberFormat="1" applyFont="1" applyBorder="1" applyAlignment="1">
      <alignment horizontal="left" vertical="center"/>
    </xf>
    <xf numFmtId="0" fontId="85" fillId="0" borderId="81" xfId="0" applyFont="1" applyBorder="1" applyAlignment="1">
      <alignment horizontal="left"/>
    </xf>
    <xf numFmtId="2" fontId="86" fillId="0" borderId="43" xfId="0" applyNumberFormat="1" applyFont="1" applyBorder="1" applyAlignment="1">
      <alignment horizontal="left" vertical="center"/>
    </xf>
    <xf numFmtId="0" fontId="111" fillId="0" borderId="74" xfId="0" applyFont="1" applyBorder="1" applyAlignment="1">
      <alignment horizontal="left"/>
    </xf>
    <xf numFmtId="0" fontId="112" fillId="0" borderId="74" xfId="0" applyFont="1" applyBorder="1" applyAlignment="1">
      <alignment/>
    </xf>
    <xf numFmtId="0" fontId="112" fillId="0" borderId="74" xfId="0" applyFont="1" applyBorder="1" applyAlignment="1">
      <alignment horizontal="left"/>
    </xf>
    <xf numFmtId="2" fontId="113" fillId="0" borderId="68" xfId="0" applyNumberFormat="1" applyFont="1" applyBorder="1" applyAlignment="1">
      <alignment horizontal="left" vertical="center"/>
    </xf>
    <xf numFmtId="2" fontId="113" fillId="0" borderId="72" xfId="0" applyNumberFormat="1" applyFont="1" applyBorder="1" applyAlignment="1">
      <alignment vertical="center"/>
    </xf>
    <xf numFmtId="2" fontId="113" fillId="0" borderId="72" xfId="0" applyNumberFormat="1" applyFont="1" applyBorder="1" applyAlignment="1">
      <alignment horizontal="right"/>
    </xf>
    <xf numFmtId="2" fontId="113" fillId="0" borderId="68" xfId="0" applyNumberFormat="1" applyFont="1" applyBorder="1" applyAlignment="1">
      <alignment horizontal="right"/>
    </xf>
    <xf numFmtId="2" fontId="114" fillId="0" borderId="72" xfId="0" applyNumberFormat="1" applyFont="1" applyBorder="1" applyAlignment="1">
      <alignment horizontal="right"/>
    </xf>
    <xf numFmtId="2" fontId="111" fillId="0" borderId="72" xfId="0" applyNumberFormat="1" applyFont="1" applyBorder="1" applyAlignment="1">
      <alignment horizontal="left"/>
    </xf>
    <xf numFmtId="2" fontId="113" fillId="0" borderId="72" xfId="42" applyNumberFormat="1" applyFont="1" applyBorder="1" applyAlignment="1">
      <alignment horizontal="right"/>
    </xf>
    <xf numFmtId="2" fontId="113" fillId="0" borderId="72" xfId="0" applyNumberFormat="1" applyFont="1" applyBorder="1" applyAlignment="1">
      <alignment horizontal="right" wrapText="1"/>
    </xf>
    <xf numFmtId="3" fontId="111" fillId="0" borderId="72" xfId="0" applyNumberFormat="1" applyFont="1" applyBorder="1" applyAlignment="1">
      <alignment horizontal="right"/>
    </xf>
    <xf numFmtId="2" fontId="113" fillId="0" borderId="72" xfId="0" applyNumberFormat="1" applyFont="1" applyFill="1" applyBorder="1" applyAlignment="1">
      <alignment horizontal="right"/>
    </xf>
    <xf numFmtId="0" fontId="112" fillId="0" borderId="0" xfId="0" applyFont="1" applyAlignment="1">
      <alignment/>
    </xf>
    <xf numFmtId="0" fontId="111" fillId="0" borderId="52" xfId="0" applyFont="1" applyBorder="1" applyAlignment="1">
      <alignment horizontal="left"/>
    </xf>
    <xf numFmtId="0" fontId="112" fillId="0" borderId="52" xfId="0" applyFont="1" applyBorder="1" applyAlignment="1">
      <alignment/>
    </xf>
    <xf numFmtId="0" fontId="112" fillId="0" borderId="52" xfId="0" applyFont="1" applyBorder="1" applyAlignment="1">
      <alignment horizontal="left"/>
    </xf>
    <xf numFmtId="2" fontId="113" fillId="0" borderId="24" xfId="0" applyNumberFormat="1" applyFont="1" applyBorder="1" applyAlignment="1">
      <alignment horizontal="left" vertical="center"/>
    </xf>
    <xf numFmtId="2" fontId="113" fillId="0" borderId="26" xfId="0" applyNumberFormat="1" applyFont="1" applyBorder="1" applyAlignment="1">
      <alignment vertical="center"/>
    </xf>
    <xf numFmtId="2" fontId="113" fillId="0" borderId="26" xfId="0" applyNumberFormat="1" applyFont="1" applyBorder="1" applyAlignment="1">
      <alignment horizontal="right"/>
    </xf>
    <xf numFmtId="2" fontId="113" fillId="0" borderId="24" xfId="0" applyNumberFormat="1" applyFont="1" applyBorder="1" applyAlignment="1">
      <alignment horizontal="right"/>
    </xf>
    <xf numFmtId="2" fontId="114" fillId="0" borderId="26" xfId="0" applyNumberFormat="1" applyFont="1" applyBorder="1" applyAlignment="1">
      <alignment horizontal="right"/>
    </xf>
    <xf numFmtId="2" fontId="111" fillId="0" borderId="26" xfId="0" applyNumberFormat="1" applyFont="1" applyBorder="1" applyAlignment="1">
      <alignment horizontal="left"/>
    </xf>
    <xf numFmtId="2" fontId="113" fillId="0" borderId="26" xfId="42" applyNumberFormat="1" applyFont="1" applyBorder="1" applyAlignment="1">
      <alignment horizontal="right"/>
    </xf>
    <xf numFmtId="2" fontId="113" fillId="0" borderId="26" xfId="0" applyNumberFormat="1" applyFont="1" applyBorder="1" applyAlignment="1">
      <alignment horizontal="right" wrapText="1"/>
    </xf>
    <xf numFmtId="3" fontId="111" fillId="0" borderId="26" xfId="0" applyNumberFormat="1" applyFont="1" applyBorder="1" applyAlignment="1">
      <alignment horizontal="right"/>
    </xf>
    <xf numFmtId="2" fontId="113" fillId="0" borderId="26" xfId="0" applyNumberFormat="1" applyFont="1" applyFill="1" applyBorder="1" applyAlignment="1">
      <alignment horizontal="right"/>
    </xf>
    <xf numFmtId="2" fontId="114" fillId="0" borderId="26" xfId="0" applyNumberFormat="1" applyFont="1" applyBorder="1" applyAlignment="1">
      <alignment horizontal="left"/>
    </xf>
    <xf numFmtId="2" fontId="113" fillId="0" borderId="26" xfId="44" applyNumberFormat="1" applyFont="1" applyBorder="1" applyAlignment="1">
      <alignment horizontal="right"/>
    </xf>
    <xf numFmtId="1" fontId="91" fillId="0" borderId="63" xfId="0" applyNumberFormat="1" applyFont="1" applyBorder="1" applyAlignment="1">
      <alignment horizontal="left"/>
    </xf>
    <xf numFmtId="0" fontId="90" fillId="0" borderId="18" xfId="0" applyFont="1" applyBorder="1" applyAlignment="1">
      <alignment horizontal="left" vertical="center"/>
    </xf>
    <xf numFmtId="2" fontId="91" fillId="0" borderId="13" xfId="0" applyNumberFormat="1" applyFont="1" applyBorder="1" applyAlignment="1">
      <alignment horizontal="left"/>
    </xf>
    <xf numFmtId="2" fontId="90" fillId="0" borderId="13" xfId="0" applyNumberFormat="1" applyFont="1" applyBorder="1" applyAlignment="1">
      <alignment horizontal="left"/>
    </xf>
    <xf numFmtId="2" fontId="91" fillId="0" borderId="29" xfId="0" applyNumberFormat="1" applyFont="1" applyBorder="1" applyAlignment="1">
      <alignment horizontal="left"/>
    </xf>
    <xf numFmtId="2" fontId="91" fillId="0" borderId="13" xfId="44" applyNumberFormat="1" applyFont="1" applyBorder="1" applyAlignment="1">
      <alignment horizontal="left"/>
    </xf>
    <xf numFmtId="2" fontId="91" fillId="0" borderId="29" xfId="44" applyNumberFormat="1" applyFont="1" applyBorder="1" applyAlignment="1">
      <alignment horizontal="left"/>
    </xf>
    <xf numFmtId="2" fontId="91" fillId="0" borderId="27" xfId="44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0" fontId="91" fillId="0" borderId="87" xfId="0" applyFont="1" applyBorder="1" applyAlignment="1">
      <alignment horizontal="left"/>
    </xf>
    <xf numFmtId="1" fontId="91" fillId="0" borderId="13" xfId="0" applyNumberFormat="1" applyFont="1" applyFill="1" applyBorder="1" applyAlignment="1">
      <alignment horizontal="left"/>
    </xf>
    <xf numFmtId="1" fontId="91" fillId="0" borderId="29" xfId="0" applyNumberFormat="1" applyFont="1" applyFill="1" applyBorder="1" applyAlignment="1">
      <alignment horizontal="left"/>
    </xf>
    <xf numFmtId="0" fontId="90" fillId="0" borderId="62" xfId="0" applyFont="1" applyBorder="1" applyAlignment="1">
      <alignment horizontal="left" vertical="center"/>
    </xf>
    <xf numFmtId="1" fontId="88" fillId="0" borderId="39" xfId="0" applyNumberFormat="1" applyFont="1" applyBorder="1" applyAlignment="1">
      <alignment horizontal="left"/>
    </xf>
    <xf numFmtId="1" fontId="88" fillId="0" borderId="12" xfId="0" applyNumberFormat="1" applyFont="1" applyBorder="1" applyAlignment="1">
      <alignment horizontal="left"/>
    </xf>
    <xf numFmtId="1" fontId="91" fillId="0" borderId="21" xfId="0" applyNumberFormat="1" applyFont="1" applyBorder="1" applyAlignment="1">
      <alignment horizontal="left"/>
    </xf>
    <xf numFmtId="1" fontId="91" fillId="0" borderId="12" xfId="0" applyNumberFormat="1" applyFont="1" applyFill="1" applyBorder="1" applyAlignment="1">
      <alignment horizontal="left"/>
    </xf>
    <xf numFmtId="1" fontId="91" fillId="0" borderId="27" xfId="0" applyNumberFormat="1" applyFont="1" applyFill="1" applyBorder="1" applyAlignment="1">
      <alignment horizontal="left"/>
    </xf>
    <xf numFmtId="2" fontId="111" fillId="0" borderId="44" xfId="0" applyNumberFormat="1" applyFont="1" applyBorder="1" applyAlignment="1">
      <alignment horizontal="left" vertical="center"/>
    </xf>
    <xf numFmtId="2" fontId="111" fillId="0" borderId="47" xfId="0" applyNumberFormat="1" applyFont="1" applyBorder="1" applyAlignment="1">
      <alignment horizontal="left" vertical="center"/>
    </xf>
    <xf numFmtId="1" fontId="111" fillId="0" borderId="45" xfId="0" applyNumberFormat="1" applyFont="1" applyBorder="1" applyAlignment="1">
      <alignment horizontal="left" vertical="center"/>
    </xf>
    <xf numFmtId="1" fontId="111" fillId="0" borderId="47" xfId="0" applyNumberFormat="1" applyFont="1" applyBorder="1" applyAlignment="1">
      <alignment horizontal="left" vertical="center"/>
    </xf>
    <xf numFmtId="1" fontId="111" fillId="0" borderId="76" xfId="0" applyNumberFormat="1" applyFont="1" applyBorder="1" applyAlignment="1">
      <alignment horizontal="left" vertical="center"/>
    </xf>
    <xf numFmtId="1" fontId="111" fillId="0" borderId="75" xfId="0" applyNumberFormat="1" applyFont="1" applyBorder="1" applyAlignment="1">
      <alignment horizontal="left" vertical="center"/>
    </xf>
    <xf numFmtId="1" fontId="111" fillId="0" borderId="71" xfId="0" applyNumberFormat="1" applyFont="1" applyBorder="1" applyAlignment="1">
      <alignment horizontal="left" vertical="center"/>
    </xf>
    <xf numFmtId="1" fontId="111" fillId="0" borderId="68" xfId="0" applyNumberFormat="1" applyFont="1" applyBorder="1" applyAlignment="1">
      <alignment horizontal="left" vertical="center"/>
    </xf>
    <xf numFmtId="1" fontId="111" fillId="0" borderId="69" xfId="0" applyNumberFormat="1" applyFont="1" applyBorder="1" applyAlignment="1">
      <alignment horizontal="left" vertical="center"/>
    </xf>
    <xf numFmtId="1" fontId="111" fillId="0" borderId="74" xfId="0" applyNumberFormat="1" applyFont="1" applyBorder="1" applyAlignment="1">
      <alignment horizontal="left" vertical="center"/>
    </xf>
    <xf numFmtId="1" fontId="111" fillId="0" borderId="70" xfId="0" applyNumberFormat="1" applyFont="1" applyBorder="1" applyAlignment="1">
      <alignment horizontal="left" vertical="center"/>
    </xf>
    <xf numFmtId="1" fontId="111" fillId="0" borderId="69" xfId="0" applyNumberFormat="1" applyFont="1" applyBorder="1" applyAlignment="1">
      <alignment horizontal="left"/>
    </xf>
    <xf numFmtId="1" fontId="111" fillId="0" borderId="72" xfId="0" applyNumberFormat="1" applyFont="1" applyBorder="1" applyAlignment="1">
      <alignment horizontal="left"/>
    </xf>
    <xf numFmtId="1" fontId="111" fillId="0" borderId="48" xfId="0" applyNumberFormat="1" applyFont="1" applyBorder="1" applyAlignment="1">
      <alignment horizontal="left"/>
    </xf>
    <xf numFmtId="1" fontId="111" fillId="0" borderId="47" xfId="0" applyNumberFormat="1" applyFont="1" applyBorder="1" applyAlignment="1">
      <alignment horizontal="left"/>
    </xf>
    <xf numFmtId="0" fontId="111" fillId="0" borderId="77" xfId="0" applyFont="1" applyBorder="1" applyAlignment="1">
      <alignment horizontal="left"/>
    </xf>
    <xf numFmtId="1" fontId="111" fillId="0" borderId="35" xfId="0" applyNumberFormat="1" applyFont="1" applyBorder="1" applyAlignment="1">
      <alignment horizontal="left"/>
    </xf>
    <xf numFmtId="1" fontId="111" fillId="0" borderId="34" xfId="0" applyNumberFormat="1" applyFont="1" applyBorder="1" applyAlignment="1">
      <alignment horizontal="left"/>
    </xf>
    <xf numFmtId="2" fontId="111" fillId="0" borderId="78" xfId="0" applyNumberFormat="1" applyFont="1" applyBorder="1" applyAlignment="1">
      <alignment horizontal="left"/>
    </xf>
    <xf numFmtId="2" fontId="111" fillId="0" borderId="87" xfId="0" applyNumberFormat="1" applyFont="1" applyBorder="1" applyAlignment="1">
      <alignment horizontal="left"/>
    </xf>
    <xf numFmtId="2" fontId="111" fillId="0" borderId="88" xfId="0" applyNumberFormat="1" applyFont="1" applyBorder="1" applyAlignment="1">
      <alignment horizontal="left"/>
    </xf>
    <xf numFmtId="1" fontId="111" fillId="0" borderId="87" xfId="0" applyNumberFormat="1" applyFont="1" applyBorder="1" applyAlignment="1">
      <alignment horizontal="left"/>
    </xf>
    <xf numFmtId="1" fontId="111" fillId="0" borderId="76" xfId="0" applyNumberFormat="1" applyFont="1" applyBorder="1" applyAlignment="1">
      <alignment horizontal="left"/>
    </xf>
    <xf numFmtId="1" fontId="111" fillId="0" borderId="75" xfId="0" applyNumberFormat="1" applyFont="1" applyBorder="1" applyAlignment="1">
      <alignment horizontal="left"/>
    </xf>
    <xf numFmtId="1" fontId="111" fillId="0" borderId="70" xfId="0" applyNumberFormat="1" applyFont="1" applyBorder="1" applyAlignment="1">
      <alignment horizontal="left"/>
    </xf>
    <xf numFmtId="2" fontId="111" fillId="0" borderId="70" xfId="0" applyNumberFormat="1" applyFont="1" applyBorder="1" applyAlignment="1">
      <alignment horizontal="left"/>
    </xf>
    <xf numFmtId="2" fontId="111" fillId="0" borderId="71" xfId="0" applyNumberFormat="1" applyFont="1" applyBorder="1" applyAlignment="1">
      <alignment horizontal="left"/>
    </xf>
    <xf numFmtId="2" fontId="111" fillId="0" borderId="75" xfId="0" applyNumberFormat="1" applyFont="1" applyBorder="1" applyAlignment="1">
      <alignment horizontal="left"/>
    </xf>
    <xf numFmtId="2" fontId="111" fillId="0" borderId="76" xfId="0" applyNumberFormat="1" applyFont="1" applyBorder="1" applyAlignment="1">
      <alignment horizontal="left"/>
    </xf>
    <xf numFmtId="0" fontId="111" fillId="0" borderId="0" xfId="0" applyFont="1" applyAlignment="1">
      <alignment horizontal="left"/>
    </xf>
    <xf numFmtId="1" fontId="111" fillId="0" borderId="0" xfId="0" applyNumberFormat="1" applyFont="1" applyAlignment="1">
      <alignment horizontal="left"/>
    </xf>
    <xf numFmtId="2" fontId="111" fillId="0" borderId="82" xfId="0" applyNumberFormat="1" applyFont="1" applyBorder="1" applyAlignment="1">
      <alignment horizontal="left"/>
    </xf>
    <xf numFmtId="2" fontId="111" fillId="0" borderId="62" xfId="0" applyNumberFormat="1" applyFont="1" applyBorder="1" applyAlignment="1">
      <alignment horizontal="left"/>
    </xf>
    <xf numFmtId="2" fontId="111" fillId="0" borderId="61" xfId="0" applyNumberFormat="1" applyFont="1" applyBorder="1" applyAlignment="1">
      <alignment horizontal="left"/>
    </xf>
    <xf numFmtId="1" fontId="111" fillId="0" borderId="62" xfId="0" applyNumberFormat="1" applyFont="1" applyBorder="1" applyAlignment="1">
      <alignment horizontal="left"/>
    </xf>
    <xf numFmtId="1" fontId="111" fillId="0" borderId="33" xfId="0" applyNumberFormat="1" applyFont="1" applyBorder="1" applyAlignment="1">
      <alignment horizontal="left"/>
    </xf>
    <xf numFmtId="1" fontId="111" fillId="0" borderId="77" xfId="0" applyNumberFormat="1" applyFont="1" applyBorder="1" applyAlignment="1">
      <alignment horizontal="left"/>
    </xf>
    <xf numFmtId="0" fontId="111" fillId="0" borderId="78" xfId="0" applyFont="1" applyBorder="1" applyAlignment="1">
      <alignment horizontal="left"/>
    </xf>
    <xf numFmtId="0" fontId="111" fillId="0" borderId="87" xfId="0" applyFont="1" applyBorder="1" applyAlignment="1">
      <alignment horizontal="left"/>
    </xf>
    <xf numFmtId="0" fontId="89" fillId="0" borderId="64" xfId="0" applyFont="1" applyBorder="1" applyAlignment="1">
      <alignment horizontal="left"/>
    </xf>
    <xf numFmtId="0" fontId="83" fillId="0" borderId="25" xfId="0" applyFont="1" applyBorder="1" applyAlignment="1">
      <alignment horizontal="left"/>
    </xf>
    <xf numFmtId="0" fontId="89" fillId="0" borderId="25" xfId="0" applyFont="1" applyBorder="1" applyAlignment="1">
      <alignment horizontal="left"/>
    </xf>
    <xf numFmtId="164" fontId="83" fillId="0" borderId="73" xfId="0" applyNumberFormat="1" applyFont="1" applyBorder="1" applyAlignment="1">
      <alignment horizontal="left"/>
    </xf>
    <xf numFmtId="0" fontId="85" fillId="0" borderId="0" xfId="0" applyFont="1" applyBorder="1" applyAlignment="1">
      <alignment/>
    </xf>
    <xf numFmtId="0" fontId="83" fillId="0" borderId="55" xfId="0" applyFont="1" applyBorder="1" applyAlignment="1">
      <alignment horizontal="left"/>
    </xf>
    <xf numFmtId="164" fontId="83" fillId="0" borderId="24" xfId="0" applyNumberFormat="1" applyFont="1" applyBorder="1" applyAlignment="1">
      <alignment horizontal="left"/>
    </xf>
    <xf numFmtId="0" fontId="83" fillId="0" borderId="50" xfId="0" applyFont="1" applyBorder="1" applyAlignment="1">
      <alignment horizontal="left"/>
    </xf>
    <xf numFmtId="0" fontId="115" fillId="0" borderId="24" xfId="0" applyFont="1" applyBorder="1" applyAlignment="1">
      <alignment/>
    </xf>
    <xf numFmtId="0" fontId="88" fillId="0" borderId="24" xfId="0" applyFont="1" applyBorder="1" applyAlignment="1">
      <alignment horizontal="left"/>
    </xf>
    <xf numFmtId="0" fontId="92" fillId="0" borderId="24" xfId="0" applyFont="1" applyBorder="1" applyAlignment="1">
      <alignment horizontal="left"/>
    </xf>
    <xf numFmtId="0" fontId="92" fillId="0" borderId="60" xfId="0" applyFont="1" applyBorder="1" applyAlignment="1">
      <alignment horizontal="left"/>
    </xf>
    <xf numFmtId="0" fontId="85" fillId="0" borderId="12" xfId="0" applyFont="1" applyBorder="1" applyAlignment="1">
      <alignment/>
    </xf>
    <xf numFmtId="0" fontId="85" fillId="0" borderId="13" xfId="0" applyFont="1" applyBorder="1" applyAlignment="1">
      <alignment/>
    </xf>
    <xf numFmtId="0" fontId="101" fillId="0" borderId="74" xfId="0" applyFont="1" applyFill="1" applyBorder="1" applyAlignment="1">
      <alignment horizontal="left" vertical="justify" wrapText="1"/>
    </xf>
    <xf numFmtId="0" fontId="85" fillId="0" borderId="10" xfId="0" applyFont="1" applyBorder="1" applyAlignment="1">
      <alignment/>
    </xf>
    <xf numFmtId="0" fontId="101" fillId="0" borderId="70" xfId="0" applyFont="1" applyFill="1" applyBorder="1" applyAlignment="1">
      <alignment horizontal="left" vertical="justify" wrapText="1"/>
    </xf>
    <xf numFmtId="0" fontId="92" fillId="0" borderId="50" xfId="0" applyFont="1" applyBorder="1" applyAlignment="1">
      <alignment horizontal="left"/>
    </xf>
    <xf numFmtId="0" fontId="115" fillId="0" borderId="67" xfId="0" applyFont="1" applyBorder="1" applyAlignment="1">
      <alignment/>
    </xf>
    <xf numFmtId="0" fontId="115" fillId="0" borderId="41" xfId="0" applyFont="1" applyBorder="1" applyAlignment="1">
      <alignment/>
    </xf>
    <xf numFmtId="0" fontId="115" fillId="0" borderId="21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115" fillId="0" borderId="10" xfId="0" applyFont="1" applyBorder="1" applyAlignment="1">
      <alignment/>
    </xf>
    <xf numFmtId="0" fontId="115" fillId="0" borderId="12" xfId="0" applyFont="1" applyBorder="1" applyAlignment="1">
      <alignment/>
    </xf>
    <xf numFmtId="0" fontId="115" fillId="0" borderId="13" xfId="0" applyFont="1" applyBorder="1" applyAlignment="1">
      <alignment/>
    </xf>
    <xf numFmtId="0" fontId="85" fillId="0" borderId="36" xfId="0" applyFont="1" applyBorder="1" applyAlignment="1">
      <alignment/>
    </xf>
    <xf numFmtId="0" fontId="85" fillId="0" borderId="17" xfId="0" applyFont="1" applyBorder="1" applyAlignment="1">
      <alignment/>
    </xf>
    <xf numFmtId="0" fontId="116" fillId="0" borderId="0" xfId="0" applyFont="1" applyAlignment="1">
      <alignment/>
    </xf>
    <xf numFmtId="0" fontId="85" fillId="0" borderId="18" xfId="0" applyFont="1" applyBorder="1" applyAlignment="1">
      <alignment/>
    </xf>
    <xf numFmtId="0" fontId="117" fillId="0" borderId="68" xfId="0" applyFont="1" applyBorder="1" applyAlignment="1">
      <alignment horizontal="left"/>
    </xf>
    <xf numFmtId="1" fontId="81" fillId="0" borderId="54" xfId="0" applyNumberFormat="1" applyFont="1" applyBorder="1" applyAlignment="1">
      <alignment horizontal="left" vertical="center"/>
    </xf>
    <xf numFmtId="2" fontId="81" fillId="0" borderId="79" xfId="0" applyNumberFormat="1" applyFont="1" applyBorder="1" applyAlignment="1">
      <alignment horizontal="left"/>
    </xf>
    <xf numFmtId="1" fontId="81" fillId="0" borderId="14" xfId="0" applyNumberFormat="1" applyFont="1" applyBorder="1" applyAlignment="1">
      <alignment horizontal="left"/>
    </xf>
    <xf numFmtId="1" fontId="102" fillId="0" borderId="10" xfId="0" applyNumberFormat="1" applyFont="1" applyBorder="1" applyAlignment="1">
      <alignment horizontal="left" vertical="center"/>
    </xf>
    <xf numFmtId="1" fontId="8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0" borderId="30" xfId="0" applyNumberFormat="1" applyFont="1" applyBorder="1" applyAlignment="1">
      <alignment horizontal="left"/>
    </xf>
    <xf numFmtId="1" fontId="101" fillId="0" borderId="30" xfId="0" applyNumberFormat="1" applyFont="1" applyFill="1" applyBorder="1" applyAlignment="1">
      <alignment horizontal="left" vertical="center"/>
    </xf>
    <xf numFmtId="1" fontId="81" fillId="0" borderId="41" xfId="0" applyNumberFormat="1" applyFont="1" applyBorder="1" applyAlignment="1">
      <alignment horizontal="left"/>
    </xf>
    <xf numFmtId="1" fontId="81" fillId="0" borderId="65" xfId="0" applyNumberFormat="1" applyFont="1" applyBorder="1" applyAlignment="1">
      <alignment horizontal="left" vertical="center"/>
    </xf>
    <xf numFmtId="1" fontId="80" fillId="0" borderId="14" xfId="42" applyNumberFormat="1" applyFont="1" applyBorder="1" applyAlignment="1">
      <alignment horizontal="left"/>
    </xf>
    <xf numFmtId="1" fontId="102" fillId="0" borderId="14" xfId="0" applyNumberFormat="1" applyFont="1" applyBorder="1" applyAlignment="1">
      <alignment horizontal="left" vertical="center"/>
    </xf>
    <xf numFmtId="1" fontId="101" fillId="0" borderId="14" xfId="0" applyNumberFormat="1" applyFont="1" applyBorder="1" applyAlignment="1">
      <alignment horizontal="left" vertical="center"/>
    </xf>
    <xf numFmtId="1" fontId="80" fillId="0" borderId="52" xfId="42" applyNumberFormat="1" applyFont="1" applyBorder="1" applyAlignment="1">
      <alignment horizontal="left"/>
    </xf>
    <xf numFmtId="1" fontId="6" fillId="0" borderId="14" xfId="42" applyNumberFormat="1" applyFont="1" applyBorder="1" applyAlignment="1">
      <alignment horizontal="left"/>
    </xf>
    <xf numFmtId="1" fontId="6" fillId="0" borderId="31" xfId="42" applyNumberFormat="1" applyFont="1" applyBorder="1" applyAlignment="1">
      <alignment horizontal="left"/>
    </xf>
    <xf numFmtId="1" fontId="101" fillId="0" borderId="31" xfId="0" applyNumberFormat="1" applyFont="1" applyFill="1" applyBorder="1" applyAlignment="1">
      <alignment horizontal="left" vertical="center"/>
    </xf>
    <xf numFmtId="2" fontId="80" fillId="0" borderId="79" xfId="42" applyNumberFormat="1" applyFont="1" applyBorder="1" applyAlignment="1">
      <alignment horizontal="left"/>
    </xf>
    <xf numFmtId="0" fontId="101" fillId="0" borderId="72" xfId="0" applyFont="1" applyFill="1" applyBorder="1" applyAlignment="1">
      <alignment horizontal="left" vertical="justify" wrapText="1"/>
    </xf>
    <xf numFmtId="0" fontId="111" fillId="0" borderId="24" xfId="0" applyFont="1" applyBorder="1" applyAlignment="1">
      <alignment horizontal="left"/>
    </xf>
    <xf numFmtId="0" fontId="85" fillId="0" borderId="41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26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85" fillId="0" borderId="67" xfId="0" applyFont="1" applyBorder="1" applyAlignment="1">
      <alignment/>
    </xf>
    <xf numFmtId="1" fontId="90" fillId="0" borderId="74" xfId="0" applyNumberFormat="1" applyFont="1" applyFill="1" applyBorder="1" applyAlignment="1">
      <alignment horizontal="center" vertical="center" wrapText="1"/>
    </xf>
    <xf numFmtId="1" fontId="90" fillId="0" borderId="72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left"/>
    </xf>
    <xf numFmtId="0" fontId="87" fillId="0" borderId="80" xfId="0" applyFont="1" applyBorder="1" applyAlignment="1">
      <alignment horizontal="center" vertical="center"/>
    </xf>
    <xf numFmtId="0" fontId="87" fillId="0" borderId="77" xfId="0" applyFont="1" applyBorder="1" applyAlignment="1">
      <alignment horizontal="center" vertical="center"/>
    </xf>
    <xf numFmtId="1" fontId="90" fillId="0" borderId="74" xfId="0" applyNumberFormat="1" applyFont="1" applyFill="1" applyBorder="1" applyAlignment="1">
      <alignment horizontal="left" vertical="justify" wrapText="1"/>
    </xf>
    <xf numFmtId="1" fontId="90" fillId="0" borderId="72" xfId="0" applyNumberFormat="1" applyFont="1" applyFill="1" applyBorder="1" applyAlignment="1">
      <alignment horizontal="left" vertical="justify" wrapText="1"/>
    </xf>
    <xf numFmtId="1" fontId="81" fillId="0" borderId="70" xfId="0" applyNumberFormat="1" applyFont="1" applyBorder="1" applyAlignment="1">
      <alignment horizontal="center" vertical="center" wrapText="1"/>
    </xf>
    <xf numFmtId="1" fontId="81" fillId="0" borderId="72" xfId="0" applyNumberFormat="1" applyFont="1" applyBorder="1" applyAlignment="1">
      <alignment horizontal="center" vertical="center" wrapText="1"/>
    </xf>
    <xf numFmtId="1" fontId="81" fillId="0" borderId="70" xfId="0" applyNumberFormat="1" applyFont="1" applyFill="1" applyBorder="1" applyAlignment="1">
      <alignment horizontal="center" vertical="center" wrapText="1"/>
    </xf>
    <xf numFmtId="1" fontId="81" fillId="0" borderId="72" xfId="0" applyNumberFormat="1" applyFont="1" applyFill="1" applyBorder="1" applyAlignment="1">
      <alignment horizontal="center" vertical="center" wrapText="1"/>
    </xf>
    <xf numFmtId="1" fontId="81" fillId="0" borderId="74" xfId="0" applyNumberFormat="1" applyFont="1" applyFill="1" applyBorder="1" applyAlignment="1">
      <alignment horizontal="center" vertical="center" wrapText="1"/>
    </xf>
    <xf numFmtId="1" fontId="81" fillId="0" borderId="74" xfId="0" applyNumberFormat="1" applyFont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81" fillId="0" borderId="42" xfId="0" applyNumberFormat="1" applyFont="1" applyBorder="1" applyAlignment="1">
      <alignment horizontal="left" vertical="center"/>
    </xf>
    <xf numFmtId="1" fontId="81" fillId="0" borderId="24" xfId="0" applyNumberFormat="1" applyFont="1" applyBorder="1" applyAlignment="1">
      <alignment horizontal="left" vertical="center"/>
    </xf>
    <xf numFmtId="1" fontId="81" fillId="0" borderId="74" xfId="0" applyNumberFormat="1" applyFont="1" applyBorder="1" applyAlignment="1">
      <alignment horizontal="center" vertical="justify" wrapText="1"/>
    </xf>
    <xf numFmtId="1" fontId="81" fillId="0" borderId="72" xfId="0" applyNumberFormat="1" applyFont="1" applyBorder="1" applyAlignment="1">
      <alignment horizontal="center" vertical="justify" wrapText="1"/>
    </xf>
    <xf numFmtId="1" fontId="81" fillId="0" borderId="57" xfId="0" applyNumberFormat="1" applyFont="1" applyBorder="1" applyAlignment="1">
      <alignment horizontal="center" vertical="center" wrapText="1"/>
    </xf>
    <xf numFmtId="1" fontId="81" fillId="0" borderId="58" xfId="0" applyNumberFormat="1" applyFont="1" applyBorder="1" applyAlignment="1">
      <alignment horizontal="center" vertical="center" wrapText="1"/>
    </xf>
    <xf numFmtId="1" fontId="81" fillId="0" borderId="57" xfId="0" applyNumberFormat="1" applyFont="1" applyFill="1" applyBorder="1" applyAlignment="1">
      <alignment horizontal="center" vertical="center" wrapText="1"/>
    </xf>
    <xf numFmtId="1" fontId="81" fillId="0" borderId="58" xfId="0" applyNumberFormat="1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left"/>
    </xf>
    <xf numFmtId="0" fontId="119" fillId="0" borderId="49" xfId="0" applyFont="1" applyBorder="1" applyAlignment="1">
      <alignment horizontal="center" vertical="center"/>
    </xf>
    <xf numFmtId="0" fontId="119" fillId="0" borderId="65" xfId="0" applyFont="1" applyBorder="1" applyAlignment="1">
      <alignment horizontal="center" vertical="center"/>
    </xf>
    <xf numFmtId="0" fontId="87" fillId="0" borderId="51" xfId="0" applyFont="1" applyFill="1" applyBorder="1" applyAlignment="1">
      <alignment horizontal="justify" vertical="justify" wrapText="1"/>
    </xf>
    <xf numFmtId="0" fontId="87" fillId="0" borderId="85" xfId="0" applyFont="1" applyFill="1" applyBorder="1" applyAlignment="1">
      <alignment horizontal="justify" vertical="justify" wrapText="1"/>
    </xf>
    <xf numFmtId="0" fontId="87" fillId="0" borderId="51" xfId="0" applyFont="1" applyBorder="1" applyAlignment="1">
      <alignment horizontal="justify" vertical="justify" wrapText="1"/>
    </xf>
    <xf numFmtId="0" fontId="87" fillId="0" borderId="85" xfId="0" applyFont="1" applyBorder="1" applyAlignment="1">
      <alignment horizontal="justify" vertical="justify" wrapText="1"/>
    </xf>
    <xf numFmtId="0" fontId="90" fillId="0" borderId="51" xfId="0" applyFont="1" applyFill="1" applyBorder="1" applyAlignment="1">
      <alignment horizontal="justify" vertical="justify" wrapText="1"/>
    </xf>
    <xf numFmtId="0" fontId="90" fillId="0" borderId="85" xfId="0" applyFont="1" applyFill="1" applyBorder="1" applyAlignment="1">
      <alignment horizontal="justify" vertical="justify" wrapText="1"/>
    </xf>
    <xf numFmtId="0" fontId="87" fillId="0" borderId="86" xfId="0" applyFont="1" applyBorder="1" applyAlignment="1">
      <alignment horizontal="justify" vertical="justify" wrapText="1"/>
    </xf>
    <xf numFmtId="0" fontId="87" fillId="0" borderId="74" xfId="0" applyFont="1" applyBorder="1" applyAlignment="1">
      <alignment horizontal="center" vertical="justify" wrapText="1"/>
    </xf>
    <xf numFmtId="0" fontId="87" fillId="0" borderId="72" xfId="0" applyFont="1" applyBorder="1" applyAlignment="1">
      <alignment horizontal="center" vertical="justify" wrapText="1"/>
    </xf>
    <xf numFmtId="1" fontId="90" fillId="0" borderId="70" xfId="0" applyNumberFormat="1" applyFont="1" applyFill="1" applyBorder="1" applyAlignment="1">
      <alignment horizontal="justify" vertical="justify" wrapText="1"/>
    </xf>
    <xf numFmtId="1" fontId="90" fillId="0" borderId="72" xfId="0" applyNumberFormat="1" applyFont="1" applyFill="1" applyBorder="1" applyAlignment="1">
      <alignment horizontal="justify" vertical="justify" wrapText="1"/>
    </xf>
    <xf numFmtId="1" fontId="90" fillId="0" borderId="74" xfId="0" applyNumberFormat="1" applyFont="1" applyBorder="1" applyAlignment="1">
      <alignment horizontal="justify" vertical="justify" wrapText="1"/>
    </xf>
    <xf numFmtId="1" fontId="90" fillId="0" borderId="72" xfId="0" applyNumberFormat="1" applyFont="1" applyBorder="1" applyAlignment="1">
      <alignment horizontal="justify" vertical="justify" wrapText="1"/>
    </xf>
    <xf numFmtId="1" fontId="90" fillId="0" borderId="70" xfId="0" applyNumberFormat="1" applyFont="1" applyBorder="1" applyAlignment="1">
      <alignment horizontal="justify" vertical="justify" wrapText="1"/>
    </xf>
    <xf numFmtId="1" fontId="90" fillId="0" borderId="74" xfId="0" applyNumberFormat="1" applyFont="1" applyFill="1" applyBorder="1" applyAlignment="1">
      <alignment horizontal="justify" vertical="justify" wrapText="1"/>
    </xf>
    <xf numFmtId="1" fontId="118" fillId="0" borderId="0" xfId="0" applyNumberFormat="1" applyFont="1" applyBorder="1" applyAlignment="1">
      <alignment horizontal="left"/>
    </xf>
    <xf numFmtId="1" fontId="90" fillId="0" borderId="49" xfId="0" applyNumberFormat="1" applyFont="1" applyBorder="1" applyAlignment="1">
      <alignment horizontal="center" vertical="center"/>
    </xf>
    <xf numFmtId="1" fontId="90" fillId="0" borderId="65" xfId="0" applyNumberFormat="1" applyFont="1" applyBorder="1" applyAlignment="1">
      <alignment horizontal="center" vertical="center"/>
    </xf>
    <xf numFmtId="0" fontId="87" fillId="0" borderId="70" xfId="0" applyFont="1" applyBorder="1" applyAlignment="1">
      <alignment horizontal="justify" vertical="justify" wrapText="1"/>
    </xf>
    <xf numFmtId="0" fontId="87" fillId="0" borderId="72" xfId="0" applyFont="1" applyBorder="1" applyAlignment="1">
      <alignment horizontal="justify" vertical="justify" wrapText="1"/>
    </xf>
    <xf numFmtId="0" fontId="87" fillId="0" borderId="74" xfId="0" applyFont="1" applyBorder="1" applyAlignment="1">
      <alignment horizontal="justify" vertical="justify" wrapText="1"/>
    </xf>
    <xf numFmtId="1" fontId="87" fillId="0" borderId="70" xfId="0" applyNumberFormat="1" applyFont="1" applyBorder="1" applyAlignment="1">
      <alignment horizontal="justify" vertical="justify" wrapText="1"/>
    </xf>
    <xf numFmtId="1" fontId="87" fillId="0" borderId="72" xfId="0" applyNumberFormat="1" applyFont="1" applyBorder="1" applyAlignment="1">
      <alignment horizontal="justify" vertical="justify" wrapText="1"/>
    </xf>
    <xf numFmtId="1" fontId="87" fillId="0" borderId="74" xfId="0" applyNumberFormat="1" applyFont="1" applyFill="1" applyBorder="1" applyAlignment="1">
      <alignment horizontal="justify" vertical="justify" wrapText="1"/>
    </xf>
    <xf numFmtId="1" fontId="87" fillId="0" borderId="72" xfId="0" applyNumberFormat="1" applyFont="1" applyFill="1" applyBorder="1" applyAlignment="1">
      <alignment horizontal="justify" vertical="justify" wrapText="1"/>
    </xf>
    <xf numFmtId="1" fontId="87" fillId="0" borderId="70" xfId="0" applyNumberFormat="1" applyFont="1" applyFill="1" applyBorder="1" applyAlignment="1">
      <alignment horizontal="justify" vertical="justify" wrapText="1"/>
    </xf>
    <xf numFmtId="0" fontId="87" fillId="0" borderId="74" xfId="0" applyFont="1" applyFill="1" applyBorder="1" applyAlignment="1">
      <alignment horizontal="justify" vertical="justify" wrapText="1"/>
    </xf>
    <xf numFmtId="0" fontId="87" fillId="0" borderId="72" xfId="0" applyFont="1" applyFill="1" applyBorder="1" applyAlignment="1">
      <alignment horizontal="justify" vertical="justify" wrapText="1"/>
    </xf>
    <xf numFmtId="0" fontId="84" fillId="0" borderId="0" xfId="0" applyFont="1" applyBorder="1" applyAlignment="1">
      <alignment horizontal="left"/>
    </xf>
    <xf numFmtId="0" fontId="87" fillId="0" borderId="5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 vertical="center"/>
    </xf>
    <xf numFmtId="0" fontId="87" fillId="0" borderId="70" xfId="0" applyFont="1" applyFill="1" applyBorder="1" applyAlignment="1">
      <alignment horizontal="justify" vertical="justify" wrapText="1"/>
    </xf>
    <xf numFmtId="0" fontId="82" fillId="0" borderId="0" xfId="0" applyFont="1" applyAlignment="1">
      <alignment horizontal="center"/>
    </xf>
    <xf numFmtId="0" fontId="117" fillId="0" borderId="0" xfId="0" applyFont="1" applyAlignment="1">
      <alignment horizontal="left"/>
    </xf>
    <xf numFmtId="1" fontId="90" fillId="0" borderId="80" xfId="0" applyNumberFormat="1" applyFont="1" applyFill="1" applyBorder="1" applyAlignment="1">
      <alignment horizontal="center" vertical="justify" wrapText="1"/>
    </xf>
    <xf numFmtId="1" fontId="90" fillId="0" borderId="58" xfId="0" applyNumberFormat="1" applyFont="1" applyFill="1" applyBorder="1" applyAlignment="1">
      <alignment horizontal="center" vertical="justify" wrapText="1"/>
    </xf>
    <xf numFmtId="1" fontId="90" fillId="0" borderId="70" xfId="0" applyNumberFormat="1" applyFont="1" applyFill="1" applyBorder="1" applyAlignment="1">
      <alignment horizontal="center" vertical="center" wrapText="1"/>
    </xf>
    <xf numFmtId="1" fontId="90" fillId="0" borderId="80" xfId="0" applyNumberFormat="1" applyFont="1" applyFill="1" applyBorder="1" applyAlignment="1">
      <alignment horizontal="center" vertical="center" wrapText="1"/>
    </xf>
    <xf numFmtId="1" fontId="90" fillId="0" borderId="58" xfId="0" applyNumberFormat="1" applyFont="1" applyFill="1" applyBorder="1" applyAlignment="1">
      <alignment horizontal="center" vertical="center" wrapText="1"/>
    </xf>
    <xf numFmtId="1" fontId="81" fillId="0" borderId="40" xfId="0" applyNumberFormat="1" applyFont="1" applyBorder="1" applyAlignment="1">
      <alignment horizontal="left" vertical="center" wrapText="1"/>
    </xf>
    <xf numFmtId="1" fontId="81" fillId="0" borderId="38" xfId="0" applyNumberFormat="1" applyFont="1" applyBorder="1" applyAlignment="1">
      <alignment horizontal="left" vertical="center" wrapText="1"/>
    </xf>
    <xf numFmtId="1" fontId="81" fillId="0" borderId="39" xfId="0" applyNumberFormat="1" applyFont="1" applyBorder="1" applyAlignment="1">
      <alignment horizontal="left" vertical="center" wrapText="1"/>
    </xf>
    <xf numFmtId="1" fontId="81" fillId="0" borderId="59" xfId="0" applyNumberFormat="1" applyFont="1" applyFill="1" applyBorder="1" applyAlignment="1">
      <alignment horizontal="left" vertical="center" wrapText="1"/>
    </xf>
    <xf numFmtId="1" fontId="81" fillId="0" borderId="38" xfId="0" applyNumberFormat="1" applyFont="1" applyFill="1" applyBorder="1" applyAlignment="1">
      <alignment horizontal="left" vertical="center" wrapText="1"/>
    </xf>
    <xf numFmtId="1" fontId="81" fillId="0" borderId="39" xfId="0" applyNumberFormat="1" applyFont="1" applyFill="1" applyBorder="1" applyAlignment="1">
      <alignment horizontal="left" vertical="center" wrapText="1"/>
    </xf>
    <xf numFmtId="1" fontId="81" fillId="0" borderId="40" xfId="0" applyNumberFormat="1" applyFont="1" applyFill="1" applyBorder="1" applyAlignment="1">
      <alignment horizontal="left" vertical="center" wrapText="1"/>
    </xf>
    <xf numFmtId="1" fontId="81" fillId="0" borderId="59" xfId="0" applyNumberFormat="1" applyFont="1" applyBorder="1" applyAlignment="1">
      <alignment horizontal="left" vertical="center" wrapText="1"/>
    </xf>
    <xf numFmtId="1" fontId="81" fillId="0" borderId="79" xfId="0" applyNumberFormat="1" applyFont="1" applyBorder="1" applyAlignment="1">
      <alignment horizontal="left" vertical="center" wrapText="1"/>
    </xf>
    <xf numFmtId="1" fontId="115" fillId="0" borderId="0" xfId="0" applyNumberFormat="1" applyFont="1" applyFill="1" applyBorder="1" applyAlignment="1">
      <alignment horizontal="left"/>
    </xf>
    <xf numFmtId="1" fontId="120" fillId="0" borderId="0" xfId="0" applyNumberFormat="1" applyFont="1" applyBorder="1" applyAlignment="1">
      <alignment horizontal="left"/>
    </xf>
    <xf numFmtId="1" fontId="81" fillId="0" borderId="40" xfId="0" applyNumberFormat="1" applyFont="1" applyBorder="1" applyAlignment="1">
      <alignment horizontal="left" vertical="center"/>
    </xf>
    <xf numFmtId="1" fontId="81" fillId="0" borderId="38" xfId="0" applyNumberFormat="1" applyFont="1" applyBorder="1" applyAlignment="1">
      <alignment horizontal="left" vertical="center"/>
    </xf>
    <xf numFmtId="1" fontId="81" fillId="0" borderId="39" xfId="0" applyNumberFormat="1" applyFont="1" applyBorder="1" applyAlignment="1">
      <alignment horizontal="left" vertical="center"/>
    </xf>
    <xf numFmtId="0" fontId="105" fillId="0" borderId="51" xfId="0" applyFont="1" applyBorder="1" applyAlignment="1">
      <alignment horizontal="center"/>
    </xf>
    <xf numFmtId="0" fontId="105" fillId="0" borderId="81" xfId="0" applyFont="1" applyBorder="1" applyAlignment="1">
      <alignment horizontal="center"/>
    </xf>
    <xf numFmtId="1" fontId="90" fillId="0" borderId="74" xfId="0" applyNumberFormat="1" applyFont="1" applyFill="1" applyBorder="1" applyAlignment="1">
      <alignment horizontal="center" vertical="justify" wrapText="1"/>
    </xf>
    <xf numFmtId="1" fontId="90" fillId="0" borderId="72" xfId="0" applyNumberFormat="1" applyFont="1" applyFill="1" applyBorder="1" applyAlignment="1">
      <alignment horizontal="center" vertical="justify" wrapText="1"/>
    </xf>
    <xf numFmtId="0" fontId="90" fillId="0" borderId="0" xfId="0" applyFont="1" applyFill="1" applyBorder="1" applyAlignment="1">
      <alignment horizontal="left"/>
    </xf>
    <xf numFmtId="0" fontId="81" fillId="0" borderId="49" xfId="0" applyFont="1" applyBorder="1" applyAlignment="1">
      <alignment horizontal="left" vertical="center"/>
    </xf>
    <xf numFmtId="0" fontId="81" fillId="0" borderId="65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justify" wrapText="1"/>
    </xf>
    <xf numFmtId="0" fontId="5" fillId="0" borderId="85" xfId="0" applyFont="1" applyBorder="1" applyAlignment="1">
      <alignment horizontal="center" vertical="justify" wrapText="1"/>
    </xf>
    <xf numFmtId="0" fontId="5" fillId="0" borderId="51" xfId="0" applyFont="1" applyFill="1" applyBorder="1" applyAlignment="1">
      <alignment horizontal="center" vertical="justify" wrapText="1"/>
    </xf>
    <xf numFmtId="0" fontId="5" fillId="0" borderId="85" xfId="0" applyFont="1" applyFill="1" applyBorder="1" applyAlignment="1">
      <alignment horizontal="center" vertical="justify" wrapText="1"/>
    </xf>
    <xf numFmtId="0" fontId="5" fillId="0" borderId="86" xfId="0" applyFont="1" applyBorder="1" applyAlignment="1">
      <alignment horizontal="center" vertical="justify" wrapText="1"/>
    </xf>
    <xf numFmtId="0" fontId="5" fillId="0" borderId="74" xfId="0" applyFont="1" applyFill="1" applyBorder="1" applyAlignment="1">
      <alignment horizontal="center" vertical="justify" wrapText="1"/>
    </xf>
    <xf numFmtId="0" fontId="5" fillId="0" borderId="72" xfId="0" applyFont="1" applyFill="1" applyBorder="1" applyAlignment="1">
      <alignment horizontal="center" vertical="justify" wrapText="1"/>
    </xf>
    <xf numFmtId="0" fontId="5" fillId="0" borderId="74" xfId="0" applyFont="1" applyBorder="1" applyAlignment="1">
      <alignment horizontal="center" vertical="justify" wrapText="1"/>
    </xf>
    <xf numFmtId="0" fontId="5" fillId="0" borderId="72" xfId="0" applyFont="1" applyBorder="1" applyAlignment="1">
      <alignment horizontal="center" vertical="justify" wrapText="1"/>
    </xf>
    <xf numFmtId="0" fontId="81" fillId="0" borderId="51" xfId="0" applyFont="1" applyBorder="1" applyAlignment="1">
      <alignment horizontal="center" vertical="justify" wrapText="1"/>
    </xf>
    <xf numFmtId="0" fontId="81" fillId="0" borderId="85" xfId="0" applyFont="1" applyBorder="1" applyAlignment="1">
      <alignment horizontal="center" vertical="justify" wrapText="1"/>
    </xf>
    <xf numFmtId="1" fontId="81" fillId="0" borderId="79" xfId="0" applyNumberFormat="1" applyFont="1" applyBorder="1" applyAlignment="1">
      <alignment horizontal="center" vertical="justify" wrapText="1"/>
    </xf>
    <xf numFmtId="1" fontId="81" fillId="0" borderId="85" xfId="0" applyNumberFormat="1" applyFont="1" applyBorder="1" applyAlignment="1">
      <alignment horizontal="center" vertical="justify" wrapText="1"/>
    </xf>
    <xf numFmtId="0" fontId="81" fillId="0" borderId="79" xfId="0" applyFont="1" applyBorder="1" applyAlignment="1">
      <alignment horizontal="center" vertical="justify" wrapText="1"/>
    </xf>
    <xf numFmtId="0" fontId="81" fillId="0" borderId="86" xfId="0" applyFont="1" applyBorder="1" applyAlignment="1">
      <alignment horizontal="center" vertical="justify" wrapText="1"/>
    </xf>
    <xf numFmtId="0" fontId="81" fillId="0" borderId="79" xfId="0" applyFont="1" applyFill="1" applyBorder="1" applyAlignment="1">
      <alignment horizontal="center" vertical="justify" wrapText="1"/>
    </xf>
    <xf numFmtId="0" fontId="81" fillId="0" borderId="85" xfId="0" applyFont="1" applyFill="1" applyBorder="1" applyAlignment="1">
      <alignment horizontal="center" vertical="justify" wrapText="1"/>
    </xf>
    <xf numFmtId="0" fontId="81" fillId="0" borderId="51" xfId="0" applyFont="1" applyFill="1" applyBorder="1" applyAlignment="1">
      <alignment horizontal="center" vertical="justify" wrapText="1"/>
    </xf>
    <xf numFmtId="1" fontId="81" fillId="0" borderId="51" xfId="0" applyNumberFormat="1" applyFont="1" applyBorder="1" applyAlignment="1">
      <alignment horizontal="center" vertical="justify" wrapText="1"/>
    </xf>
    <xf numFmtId="0" fontId="10" fillId="0" borderId="0" xfId="0" applyFont="1" applyBorder="1" applyAlignment="1">
      <alignment horizontal="left"/>
    </xf>
    <xf numFmtId="0" fontId="87" fillId="0" borderId="49" xfId="0" applyFont="1" applyBorder="1" applyAlignment="1">
      <alignment horizontal="left" vertical="center"/>
    </xf>
    <xf numFmtId="0" fontId="87" fillId="0" borderId="23" xfId="0" applyFont="1" applyBorder="1" applyAlignment="1">
      <alignment horizontal="left" vertical="center"/>
    </xf>
    <xf numFmtId="0" fontId="4" fillId="0" borderId="74" xfId="0" applyFont="1" applyFill="1" applyBorder="1" applyAlignment="1">
      <alignment horizontal="justify" vertical="justify" wrapText="1"/>
    </xf>
    <xf numFmtId="0" fontId="4" fillId="0" borderId="72" xfId="0" applyFont="1" applyFill="1" applyBorder="1" applyAlignment="1">
      <alignment horizontal="justify" vertical="justify" wrapText="1"/>
    </xf>
    <xf numFmtId="0" fontId="4" fillId="0" borderId="70" xfId="0" applyFont="1" applyBorder="1" applyAlignment="1">
      <alignment horizontal="justify" vertical="justify" wrapText="1"/>
    </xf>
    <xf numFmtId="0" fontId="4" fillId="0" borderId="72" xfId="0" applyFont="1" applyBorder="1" applyAlignment="1">
      <alignment horizontal="justify" vertical="justify" wrapText="1"/>
    </xf>
    <xf numFmtId="0" fontId="4" fillId="0" borderId="74" xfId="0" applyFont="1" applyBorder="1" applyAlignment="1">
      <alignment horizontal="justify" vertical="justify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80" xfId="0" applyFont="1" applyBorder="1" applyAlignment="1">
      <alignment horizontal="left" vertical="center"/>
    </xf>
    <xf numFmtId="0" fontId="81" fillId="0" borderId="77" xfId="0" applyFont="1" applyBorder="1" applyAlignment="1">
      <alignment horizontal="left" vertical="center"/>
    </xf>
    <xf numFmtId="0" fontId="81" fillId="0" borderId="70" xfId="0" applyFont="1" applyFill="1" applyBorder="1" applyAlignment="1">
      <alignment horizontal="justify" vertical="justify" wrapText="1"/>
    </xf>
    <xf numFmtId="0" fontId="81" fillId="0" borderId="72" xfId="0" applyFont="1" applyFill="1" applyBorder="1" applyAlignment="1">
      <alignment horizontal="justify" vertical="justify" wrapText="1"/>
    </xf>
    <xf numFmtId="0" fontId="81" fillId="0" borderId="74" xfId="0" applyFont="1" applyFill="1" applyBorder="1" applyAlignment="1">
      <alignment horizontal="justify" vertical="justify" wrapText="1"/>
    </xf>
    <xf numFmtId="0" fontId="81" fillId="0" borderId="74" xfId="0" applyFont="1" applyBorder="1" applyAlignment="1">
      <alignment horizontal="justify" vertical="justify" wrapText="1"/>
    </xf>
    <xf numFmtId="0" fontId="81" fillId="0" borderId="72" xfId="0" applyFont="1" applyBorder="1" applyAlignment="1">
      <alignment horizontal="justify" vertical="justify" wrapText="1"/>
    </xf>
    <xf numFmtId="0" fontId="81" fillId="0" borderId="70" xfId="0" applyFont="1" applyBorder="1" applyAlignment="1">
      <alignment horizontal="justify" vertical="justify" wrapText="1"/>
    </xf>
    <xf numFmtId="1" fontId="81" fillId="0" borderId="74" xfId="0" applyNumberFormat="1" applyFont="1" applyBorder="1" applyAlignment="1">
      <alignment horizontal="justify" vertical="justify" wrapText="1"/>
    </xf>
    <xf numFmtId="1" fontId="81" fillId="0" borderId="72" xfId="0" applyNumberFormat="1" applyFont="1" applyBorder="1" applyAlignment="1">
      <alignment horizontal="justify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B61"/>
  <sheetViews>
    <sheetView tabSelected="1" zoomScalePageLayoutView="0" workbookViewId="0" topLeftCell="A55">
      <pane xSplit="1" topLeftCell="B1" activePane="topRight" state="frozen"/>
      <selection pane="topLeft" activeCell="A1" sqref="A1"/>
      <selection pane="topRight" activeCell="A25" sqref="A25"/>
    </sheetView>
  </sheetViews>
  <sheetFormatPr defaultColWidth="9.140625" defaultRowHeight="15"/>
  <cols>
    <col min="1" max="1" width="65.00390625" style="115" bestFit="1" customWidth="1"/>
    <col min="2" max="2" width="3.8515625" style="115" customWidth="1"/>
    <col min="3" max="3" width="14.140625" style="74" customWidth="1"/>
    <col min="4" max="4" width="15.140625" style="74" customWidth="1"/>
    <col min="5" max="5" width="12.421875" style="115" bestFit="1" customWidth="1"/>
    <col min="6" max="6" width="14.421875" style="115" customWidth="1"/>
    <col min="7" max="8" width="12.421875" style="115" bestFit="1" customWidth="1"/>
    <col min="9" max="9" width="13.28125" style="115" customWidth="1"/>
    <col min="10" max="10" width="14.00390625" style="115" customWidth="1"/>
    <col min="11" max="11" width="13.421875" style="115" bestFit="1" customWidth="1"/>
    <col min="12" max="12" width="14.8515625" style="115" customWidth="1"/>
    <col min="13" max="13" width="12.421875" style="115" bestFit="1" customWidth="1"/>
    <col min="14" max="14" width="12.8515625" style="440" bestFit="1" customWidth="1"/>
    <col min="15" max="15" width="12.421875" style="440" bestFit="1" customWidth="1"/>
    <col min="16" max="16" width="13.421875" style="115" bestFit="1" customWidth="1"/>
    <col min="17" max="18" width="12.421875" style="115" bestFit="1" customWidth="1"/>
    <col min="19" max="19" width="12.7109375" style="115" customWidth="1"/>
    <col min="20" max="20" width="14.8515625" style="115" customWidth="1"/>
    <col min="21" max="21" width="12.421875" style="115" bestFit="1" customWidth="1"/>
    <col min="22" max="22" width="13.421875" style="115" bestFit="1" customWidth="1"/>
    <col min="23" max="23" width="14.57421875" style="115" bestFit="1" customWidth="1"/>
    <col min="24" max="24" width="14.57421875" style="115" customWidth="1"/>
    <col min="25" max="26" width="14.57421875" style="115" bestFit="1" customWidth="1"/>
    <col min="27" max="29" width="13.421875" style="115" bestFit="1" customWidth="1"/>
    <col min="30" max="30" width="14.00390625" style="115" customWidth="1"/>
    <col min="31" max="31" width="13.421875" style="115" bestFit="1" customWidth="1"/>
    <col min="32" max="33" width="13.421875" style="115" customWidth="1"/>
    <col min="34" max="35" width="14.7109375" style="115" customWidth="1"/>
    <col min="36" max="36" width="13.421875" style="115" customWidth="1"/>
    <col min="37" max="37" width="13.57421875" style="115" customWidth="1"/>
    <col min="38" max="39" width="13.8515625" style="115" customWidth="1"/>
    <col min="40" max="40" width="12.57421875" style="115" customWidth="1"/>
    <col min="41" max="41" width="15.7109375" style="115" customWidth="1"/>
    <col min="42" max="42" width="13.8515625" style="115" bestFit="1" customWidth="1"/>
    <col min="43" max="43" width="12.7109375" style="115" customWidth="1"/>
    <col min="44" max="44" width="13.421875" style="115" bestFit="1" customWidth="1"/>
    <col min="45" max="45" width="13.421875" style="115" customWidth="1"/>
    <col min="46" max="46" width="13.421875" style="115" bestFit="1" customWidth="1"/>
    <col min="47" max="47" width="13.8515625" style="115" customWidth="1"/>
    <col min="48" max="48" width="13.421875" style="115" bestFit="1" customWidth="1"/>
    <col min="49" max="52" width="15.7109375" style="115" bestFit="1" customWidth="1"/>
    <col min="53" max="53" width="17.7109375" style="115" customWidth="1"/>
    <col min="54" max="54" width="18.57421875" style="115" customWidth="1"/>
    <col min="55" max="16384" width="9.140625" style="115" customWidth="1"/>
  </cols>
  <sheetData>
    <row r="1" spans="1:54" ht="18.75" thickBot="1">
      <c r="A1" s="1007" t="s">
        <v>236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1007"/>
      <c r="S1" s="1007"/>
      <c r="T1" s="1007"/>
      <c r="U1" s="1007"/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1007"/>
      <c r="AO1" s="1007"/>
      <c r="AP1" s="1007"/>
      <c r="AQ1" s="1007"/>
      <c r="AR1" s="1007"/>
      <c r="AS1" s="1007"/>
      <c r="AT1" s="1007"/>
      <c r="AU1" s="1007"/>
      <c r="AV1" s="1007"/>
      <c r="AW1" s="1007"/>
      <c r="AX1" s="1007"/>
      <c r="AY1" s="1007"/>
      <c r="AZ1" s="1007"/>
      <c r="BA1" s="1007"/>
      <c r="BB1" s="1007"/>
    </row>
    <row r="2" spans="1:54" ht="69" customHeight="1" thickBot="1">
      <c r="A2" s="1008" t="s">
        <v>0</v>
      </c>
      <c r="B2" s="667"/>
      <c r="C2" s="1010" t="s">
        <v>117</v>
      </c>
      <c r="D2" s="1011"/>
      <c r="E2" s="1005" t="s">
        <v>118</v>
      </c>
      <c r="F2" s="1006"/>
      <c r="G2" s="1005" t="s">
        <v>119</v>
      </c>
      <c r="H2" s="1006"/>
      <c r="I2" s="1005" t="s">
        <v>120</v>
      </c>
      <c r="J2" s="1006"/>
      <c r="K2" s="1005" t="s">
        <v>121</v>
      </c>
      <c r="L2" s="1006"/>
      <c r="M2" s="1005" t="s">
        <v>122</v>
      </c>
      <c r="N2" s="1006"/>
      <c r="O2" s="1005" t="s">
        <v>123</v>
      </c>
      <c r="P2" s="1006"/>
      <c r="Q2" s="1005" t="s">
        <v>124</v>
      </c>
      <c r="R2" s="1006"/>
      <c r="S2" s="1005" t="s">
        <v>125</v>
      </c>
      <c r="T2" s="1006"/>
      <c r="U2" s="1005" t="s">
        <v>126</v>
      </c>
      <c r="V2" s="1006"/>
      <c r="W2" s="1005" t="s">
        <v>127</v>
      </c>
      <c r="X2" s="1006"/>
      <c r="Y2" s="1005" t="s">
        <v>128</v>
      </c>
      <c r="Z2" s="1006"/>
      <c r="AA2" s="1005" t="s">
        <v>129</v>
      </c>
      <c r="AB2" s="1006"/>
      <c r="AC2" s="1005" t="s">
        <v>130</v>
      </c>
      <c r="AD2" s="1006"/>
      <c r="AE2" s="1005" t="s">
        <v>131</v>
      </c>
      <c r="AF2" s="1006"/>
      <c r="AG2" s="1005" t="s">
        <v>132</v>
      </c>
      <c r="AH2" s="1006"/>
      <c r="AI2" s="1005" t="s">
        <v>133</v>
      </c>
      <c r="AJ2" s="1006"/>
      <c r="AK2" s="1005" t="s">
        <v>134</v>
      </c>
      <c r="AL2" s="1006"/>
      <c r="AM2" s="1005" t="s">
        <v>135</v>
      </c>
      <c r="AN2" s="1006"/>
      <c r="AO2" s="1005" t="s">
        <v>136</v>
      </c>
      <c r="AP2" s="1006"/>
      <c r="AQ2" s="1005" t="s">
        <v>137</v>
      </c>
      <c r="AR2" s="1006"/>
      <c r="AS2" s="1005" t="s">
        <v>138</v>
      </c>
      <c r="AT2" s="1006"/>
      <c r="AU2" s="1005" t="s">
        <v>139</v>
      </c>
      <c r="AV2" s="1006"/>
      <c r="AW2" s="1005" t="s">
        <v>1</v>
      </c>
      <c r="AX2" s="1006"/>
      <c r="AY2" s="1005" t="s">
        <v>140</v>
      </c>
      <c r="AZ2" s="1006"/>
      <c r="BA2" s="1005" t="s">
        <v>2</v>
      </c>
      <c r="BB2" s="1006"/>
    </row>
    <row r="3" spans="1:54" s="499" customFormat="1" ht="15" customHeight="1" thickBot="1">
      <c r="A3" s="1009"/>
      <c r="B3" s="679"/>
      <c r="C3" s="533" t="s">
        <v>246</v>
      </c>
      <c r="D3" s="536" t="s">
        <v>247</v>
      </c>
      <c r="E3" s="536" t="s">
        <v>246</v>
      </c>
      <c r="F3" s="536" t="s">
        <v>247</v>
      </c>
      <c r="G3" s="536" t="s">
        <v>246</v>
      </c>
      <c r="H3" s="536" t="s">
        <v>247</v>
      </c>
      <c r="I3" s="536" t="s">
        <v>246</v>
      </c>
      <c r="J3" s="536" t="s">
        <v>247</v>
      </c>
      <c r="K3" s="536" t="s">
        <v>246</v>
      </c>
      <c r="L3" s="536" t="s">
        <v>247</v>
      </c>
      <c r="M3" s="536" t="s">
        <v>246</v>
      </c>
      <c r="N3" s="536" t="s">
        <v>247</v>
      </c>
      <c r="O3" s="536" t="s">
        <v>246</v>
      </c>
      <c r="P3" s="536" t="s">
        <v>247</v>
      </c>
      <c r="Q3" s="536" t="s">
        <v>246</v>
      </c>
      <c r="R3" s="536" t="s">
        <v>247</v>
      </c>
      <c r="S3" s="536" t="s">
        <v>246</v>
      </c>
      <c r="T3" s="536" t="s">
        <v>247</v>
      </c>
      <c r="U3" s="536" t="s">
        <v>246</v>
      </c>
      <c r="V3" s="536" t="s">
        <v>247</v>
      </c>
      <c r="W3" s="536" t="s">
        <v>246</v>
      </c>
      <c r="X3" s="536" t="s">
        <v>247</v>
      </c>
      <c r="Y3" s="536" t="s">
        <v>246</v>
      </c>
      <c r="Z3" s="536" t="s">
        <v>247</v>
      </c>
      <c r="AA3" s="536" t="s">
        <v>246</v>
      </c>
      <c r="AB3" s="536" t="s">
        <v>247</v>
      </c>
      <c r="AC3" s="536" t="s">
        <v>246</v>
      </c>
      <c r="AD3" s="536" t="s">
        <v>247</v>
      </c>
      <c r="AE3" s="536" t="s">
        <v>246</v>
      </c>
      <c r="AF3" s="536" t="s">
        <v>247</v>
      </c>
      <c r="AG3" s="536" t="s">
        <v>246</v>
      </c>
      <c r="AH3" s="536" t="s">
        <v>247</v>
      </c>
      <c r="AI3" s="536" t="s">
        <v>246</v>
      </c>
      <c r="AJ3" s="536" t="s">
        <v>247</v>
      </c>
      <c r="AK3" s="536" t="s">
        <v>246</v>
      </c>
      <c r="AL3" s="536" t="s">
        <v>247</v>
      </c>
      <c r="AM3" s="536" t="s">
        <v>246</v>
      </c>
      <c r="AN3" s="536" t="s">
        <v>247</v>
      </c>
      <c r="AO3" s="536" t="s">
        <v>246</v>
      </c>
      <c r="AP3" s="536" t="s">
        <v>247</v>
      </c>
      <c r="AQ3" s="536" t="s">
        <v>246</v>
      </c>
      <c r="AR3" s="536" t="s">
        <v>247</v>
      </c>
      <c r="AS3" s="536" t="s">
        <v>246</v>
      </c>
      <c r="AT3" s="536" t="s">
        <v>247</v>
      </c>
      <c r="AU3" s="536" t="s">
        <v>246</v>
      </c>
      <c r="AV3" s="536" t="s">
        <v>247</v>
      </c>
      <c r="AW3" s="536" t="s">
        <v>246</v>
      </c>
      <c r="AX3" s="536" t="s">
        <v>247</v>
      </c>
      <c r="AY3" s="536" t="s">
        <v>246</v>
      </c>
      <c r="AZ3" s="536" t="s">
        <v>247</v>
      </c>
      <c r="BA3" s="536" t="s">
        <v>246</v>
      </c>
      <c r="BB3" s="536" t="s">
        <v>247</v>
      </c>
    </row>
    <row r="4" spans="1:54" ht="15" customHeight="1">
      <c r="A4" s="456" t="s">
        <v>21</v>
      </c>
      <c r="B4" s="458"/>
      <c r="C4" s="854"/>
      <c r="D4" s="855"/>
      <c r="E4" s="757"/>
      <c r="F4" s="457"/>
      <c r="G4" s="457"/>
      <c r="H4" s="460"/>
      <c r="I4" s="457"/>
      <c r="J4" s="457"/>
      <c r="K4" s="457"/>
      <c r="L4" s="457"/>
      <c r="M4" s="457"/>
      <c r="N4" s="463"/>
      <c r="O4" s="463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</row>
    <row r="5" spans="1:54" ht="25.5" customHeight="1">
      <c r="A5" s="387" t="s">
        <v>22</v>
      </c>
      <c r="B5" s="455" t="s">
        <v>166</v>
      </c>
      <c r="C5" s="455">
        <v>55797125</v>
      </c>
      <c r="D5" s="856">
        <v>57239551</v>
      </c>
      <c r="E5" s="758">
        <v>5016025</v>
      </c>
      <c r="F5" s="453">
        <v>4507191</v>
      </c>
      <c r="G5" s="453">
        <v>5829599</v>
      </c>
      <c r="H5" s="461">
        <v>5354291</v>
      </c>
      <c r="I5" s="453">
        <v>11700613</v>
      </c>
      <c r="J5" s="453">
        <v>14377154</v>
      </c>
      <c r="K5" s="453">
        <v>12083342</v>
      </c>
      <c r="L5" s="453">
        <v>13965021</v>
      </c>
      <c r="M5" s="453"/>
      <c r="N5" s="464">
        <v>22947055</v>
      </c>
      <c r="O5" s="464"/>
      <c r="P5" s="453">
        <v>11421028</v>
      </c>
      <c r="Q5" s="761">
        <v>3100660</v>
      </c>
      <c r="R5" s="466">
        <v>4413331</v>
      </c>
      <c r="S5" s="466">
        <v>20469916</v>
      </c>
      <c r="T5" s="453">
        <v>24085795</v>
      </c>
      <c r="U5" s="453">
        <v>5924993</v>
      </c>
      <c r="V5" s="453">
        <v>7398471</v>
      </c>
      <c r="W5" s="453">
        <v>163129776</v>
      </c>
      <c r="X5" s="453">
        <v>194454858</v>
      </c>
      <c r="Y5" s="453">
        <v>191643909</v>
      </c>
      <c r="Z5" s="453">
        <v>223540020</v>
      </c>
      <c r="AA5" s="453">
        <v>12396657</v>
      </c>
      <c r="AB5" s="470">
        <v>15651864</v>
      </c>
      <c r="AC5" s="470">
        <v>19673999</v>
      </c>
      <c r="AD5" s="453">
        <v>22651746</v>
      </c>
      <c r="AE5" s="453">
        <v>39716819</v>
      </c>
      <c r="AF5" s="453">
        <v>51395481</v>
      </c>
      <c r="AG5" s="453">
        <v>92161642</v>
      </c>
      <c r="AH5" s="453">
        <v>107804023</v>
      </c>
      <c r="AI5" s="453">
        <v>28278346</v>
      </c>
      <c r="AJ5" s="453">
        <v>32360801</v>
      </c>
      <c r="AK5" s="453">
        <v>43981174</v>
      </c>
      <c r="AL5" s="453">
        <v>40268213</v>
      </c>
      <c r="AM5" s="453">
        <v>1570542</v>
      </c>
      <c r="AN5" s="473">
        <v>1539406</v>
      </c>
      <c r="AO5" s="473">
        <v>158253649</v>
      </c>
      <c r="AP5" s="474">
        <v>210151350</v>
      </c>
      <c r="AQ5" s="474">
        <v>10221094</v>
      </c>
      <c r="AR5" s="477">
        <v>12079380</v>
      </c>
      <c r="AS5" s="477">
        <v>13074705</v>
      </c>
      <c r="AT5" s="471">
        <v>15108825</v>
      </c>
      <c r="AU5" s="471">
        <v>24789602</v>
      </c>
      <c r="AV5" s="453">
        <v>31710836</v>
      </c>
      <c r="AW5" s="453">
        <f>SUM(C5+E5+G5+I5+K5+M5+O5+Q5+S5+U5+W5+Y5+AA5+AC5+AE5+AG5+AI5+AK5+AM5+AO5+AQ5+AS5+AU5)</f>
        <v>918814187</v>
      </c>
      <c r="AX5" s="453">
        <f>SUM(D5+F5+H5+J5+L5+N5+P5+R5+T5+V5+X5+Z5+AB5+AD5+AF5+AH5+AJ5+AL5+AN5+AP5+AR5+AT5+AV5)</f>
        <v>1124425691</v>
      </c>
      <c r="AY5" s="454">
        <v>2664442056</v>
      </c>
      <c r="AZ5" s="471">
        <v>3004873598</v>
      </c>
      <c r="BA5" s="471">
        <f>AW5+AY5</f>
        <v>3583256243</v>
      </c>
      <c r="BB5" s="471">
        <f>AX5+AZ5</f>
        <v>4129299289</v>
      </c>
    </row>
    <row r="6" spans="1:54" ht="17.25">
      <c r="A6" s="387" t="s">
        <v>167</v>
      </c>
      <c r="B6" s="459"/>
      <c r="C6" s="788">
        <v>-1679773</v>
      </c>
      <c r="D6" s="856">
        <v>-1904075</v>
      </c>
      <c r="E6" s="758">
        <v>-302870</v>
      </c>
      <c r="F6" s="453">
        <v>-348393</v>
      </c>
      <c r="G6" s="453">
        <v>-133568</v>
      </c>
      <c r="H6" s="461">
        <v>-127687</v>
      </c>
      <c r="I6" s="453">
        <v>-100792</v>
      </c>
      <c r="J6" s="453">
        <v>-89420</v>
      </c>
      <c r="K6" s="453">
        <v>-188927</v>
      </c>
      <c r="L6" s="453">
        <v>-220346</v>
      </c>
      <c r="M6" s="453"/>
      <c r="N6" s="464">
        <v>-147059</v>
      </c>
      <c r="O6" s="464"/>
      <c r="P6" s="453">
        <v>-525871</v>
      </c>
      <c r="Q6" s="453">
        <v>-98853</v>
      </c>
      <c r="R6" s="467">
        <v>-154412</v>
      </c>
      <c r="S6" s="467">
        <v>-307507</v>
      </c>
      <c r="T6" s="453">
        <v>-495622</v>
      </c>
      <c r="U6" s="453">
        <v>-232154</v>
      </c>
      <c r="V6" s="453">
        <v>-319743</v>
      </c>
      <c r="W6" s="453">
        <v>-1341980</v>
      </c>
      <c r="X6" s="453">
        <v>-1706214</v>
      </c>
      <c r="Y6" s="453">
        <v>-1656938</v>
      </c>
      <c r="Z6" s="453">
        <v>-1987544</v>
      </c>
      <c r="AA6" s="453">
        <v>-88415</v>
      </c>
      <c r="AB6" s="470">
        <v>-112227</v>
      </c>
      <c r="AC6" s="470">
        <v>-303176</v>
      </c>
      <c r="AD6" s="453">
        <v>-454375</v>
      </c>
      <c r="AE6" s="453">
        <v>-583962</v>
      </c>
      <c r="AF6" s="453">
        <v>-720897</v>
      </c>
      <c r="AG6" s="453">
        <v>-772376</v>
      </c>
      <c r="AH6" s="453">
        <v>-1001627</v>
      </c>
      <c r="AI6" s="453">
        <v>-1006065</v>
      </c>
      <c r="AJ6" s="453">
        <v>-971742</v>
      </c>
      <c r="AK6" s="453">
        <v>-274769</v>
      </c>
      <c r="AL6" s="453">
        <v>-275656</v>
      </c>
      <c r="AM6" s="453">
        <v>-825</v>
      </c>
      <c r="AN6" s="473">
        <v>-806</v>
      </c>
      <c r="AO6" s="473">
        <v>-1599138</v>
      </c>
      <c r="AP6" s="474">
        <v>-1626819</v>
      </c>
      <c r="AQ6" s="474">
        <v>-22376</v>
      </c>
      <c r="AR6" s="477">
        <v>-28343</v>
      </c>
      <c r="AS6" s="477">
        <v>-298100</v>
      </c>
      <c r="AT6" s="471">
        <v>-310737</v>
      </c>
      <c r="AU6" s="471">
        <v>-431651</v>
      </c>
      <c r="AV6" s="453">
        <v>-558119</v>
      </c>
      <c r="AW6" s="453">
        <f>SUM(C6+E6+G6+I6+K6+M6+O6+Q6+S6+U6+W6+Y6+AA6+AC6+AE6+AG6+AI6+AK6+AM6+AO6+AQ6+AS6+AU6)</f>
        <v>-11424215</v>
      </c>
      <c r="AX6" s="453">
        <f>SUM(D6+F6+H6+J6+L6+N6+P6+R6+T6+V6+X6+Z6+AB6+AD6+AF6+AH6+AJ6+AL6+AN6+AP6+AR6+AT6+AV6)</f>
        <v>-14087734</v>
      </c>
      <c r="AY6" s="454">
        <v>-2188220</v>
      </c>
      <c r="AZ6" s="471">
        <v>-2906758</v>
      </c>
      <c r="BA6" s="471">
        <f aca="true" t="shared" si="0" ref="BA6:BA61">AW6+AY6</f>
        <v>-13612435</v>
      </c>
      <c r="BB6" s="471">
        <f aca="true" t="shared" si="1" ref="BB6:BB61">AX6+AZ6</f>
        <v>-16994492</v>
      </c>
    </row>
    <row r="7" spans="1:54" ht="17.25">
      <c r="A7" s="387" t="s">
        <v>168</v>
      </c>
      <c r="B7" s="459"/>
      <c r="C7" s="788"/>
      <c r="D7" s="856"/>
      <c r="E7" s="758"/>
      <c r="F7" s="453"/>
      <c r="G7" s="453"/>
      <c r="H7" s="461"/>
      <c r="I7" s="453"/>
      <c r="J7" s="453"/>
      <c r="K7" s="453"/>
      <c r="L7" s="453"/>
      <c r="M7" s="453"/>
      <c r="N7" s="464"/>
      <c r="O7" s="464"/>
      <c r="P7" s="453"/>
      <c r="Q7" s="453"/>
      <c r="R7" s="467"/>
      <c r="S7" s="467"/>
      <c r="T7" s="453"/>
      <c r="U7" s="453"/>
      <c r="V7" s="453"/>
      <c r="W7" s="453"/>
      <c r="X7" s="453"/>
      <c r="Y7" s="453"/>
      <c r="Z7" s="453"/>
      <c r="AA7" s="453"/>
      <c r="AB7" s="470"/>
      <c r="AC7" s="470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73"/>
      <c r="AO7" s="473"/>
      <c r="AP7" s="443"/>
      <c r="AQ7" s="443"/>
      <c r="AR7" s="477"/>
      <c r="AS7" s="477"/>
      <c r="AT7" s="471"/>
      <c r="AU7" s="471"/>
      <c r="AV7" s="453"/>
      <c r="AW7" s="453">
        <f aca="true" t="shared" si="2" ref="AW7:AW17">SUM(C7+E7+G7+I7+K7+M7+O7+Q7+S7+U7+W7+Y7+AA7+AC7+AE7+AG7+AI7+AK7+AM7+AO7+AQ7+AS7+AU7)</f>
        <v>0</v>
      </c>
      <c r="AX7" s="453">
        <f aca="true" t="shared" si="3" ref="AX7:AX17">SUM(D7+F7+H7+J7+L7+N7+P7+R7+T7+V7+X7+Z7+AB7+AD7+AF7+AH7+AJ7+AL7+AN7+AP7+AR7+AT7+AV7)</f>
        <v>0</v>
      </c>
      <c r="AY7" s="454"/>
      <c r="AZ7" s="471"/>
      <c r="BA7" s="471">
        <f t="shared" si="0"/>
        <v>0</v>
      </c>
      <c r="BB7" s="471">
        <f t="shared" si="1"/>
        <v>0</v>
      </c>
    </row>
    <row r="8" spans="1:54" ht="17.25">
      <c r="A8" s="455" t="s">
        <v>169</v>
      </c>
      <c r="B8" s="459"/>
      <c r="C8" s="788">
        <f aca="true" t="shared" si="4" ref="C8:AV8">SUM(C5:C7)</f>
        <v>54117352</v>
      </c>
      <c r="D8" s="856">
        <f t="shared" si="4"/>
        <v>55335476</v>
      </c>
      <c r="E8" s="452">
        <f t="shared" si="4"/>
        <v>4713155</v>
      </c>
      <c r="F8" s="452">
        <f t="shared" si="4"/>
        <v>4158798</v>
      </c>
      <c r="G8" s="452">
        <f t="shared" si="4"/>
        <v>5696031</v>
      </c>
      <c r="H8" s="452">
        <f t="shared" si="4"/>
        <v>5226604</v>
      </c>
      <c r="I8" s="452">
        <f t="shared" si="4"/>
        <v>11599821</v>
      </c>
      <c r="J8" s="452">
        <f t="shared" si="4"/>
        <v>14287734</v>
      </c>
      <c r="K8" s="452">
        <f t="shared" si="4"/>
        <v>11894415</v>
      </c>
      <c r="L8" s="452">
        <f t="shared" si="4"/>
        <v>13744675</v>
      </c>
      <c r="M8" s="452">
        <f t="shared" si="4"/>
        <v>0</v>
      </c>
      <c r="N8" s="452">
        <f t="shared" si="4"/>
        <v>22799996</v>
      </c>
      <c r="O8" s="452">
        <f t="shared" si="4"/>
        <v>0</v>
      </c>
      <c r="P8" s="452">
        <f t="shared" si="4"/>
        <v>10895157</v>
      </c>
      <c r="Q8" s="452">
        <f t="shared" si="4"/>
        <v>3001807</v>
      </c>
      <c r="R8" s="452">
        <f t="shared" si="4"/>
        <v>4258919</v>
      </c>
      <c r="S8" s="452">
        <f t="shared" si="4"/>
        <v>20162409</v>
      </c>
      <c r="T8" s="452">
        <f t="shared" si="4"/>
        <v>23590173</v>
      </c>
      <c r="U8" s="452">
        <f t="shared" si="4"/>
        <v>5692839</v>
      </c>
      <c r="V8" s="452">
        <f t="shared" si="4"/>
        <v>7078728</v>
      </c>
      <c r="W8" s="452">
        <f t="shared" si="4"/>
        <v>161787796</v>
      </c>
      <c r="X8" s="452">
        <f t="shared" si="4"/>
        <v>192748644</v>
      </c>
      <c r="Y8" s="452">
        <f t="shared" si="4"/>
        <v>189986971</v>
      </c>
      <c r="Z8" s="452">
        <f t="shared" si="4"/>
        <v>221552476</v>
      </c>
      <c r="AA8" s="452">
        <f t="shared" si="4"/>
        <v>12308242</v>
      </c>
      <c r="AB8" s="452">
        <f t="shared" si="4"/>
        <v>15539637</v>
      </c>
      <c r="AC8" s="452">
        <f t="shared" si="4"/>
        <v>19370823</v>
      </c>
      <c r="AD8" s="452">
        <f t="shared" si="4"/>
        <v>22197371</v>
      </c>
      <c r="AE8" s="452">
        <f t="shared" si="4"/>
        <v>39132857</v>
      </c>
      <c r="AF8" s="452">
        <f t="shared" si="4"/>
        <v>50674584</v>
      </c>
      <c r="AG8" s="452">
        <f t="shared" si="4"/>
        <v>91389266</v>
      </c>
      <c r="AH8" s="452">
        <f t="shared" si="4"/>
        <v>106802396</v>
      </c>
      <c r="AI8" s="452">
        <f t="shared" si="4"/>
        <v>27272281</v>
      </c>
      <c r="AJ8" s="452">
        <f t="shared" si="4"/>
        <v>31389059</v>
      </c>
      <c r="AK8" s="452">
        <f t="shared" si="4"/>
        <v>43706405</v>
      </c>
      <c r="AL8" s="452">
        <f t="shared" si="4"/>
        <v>39992557</v>
      </c>
      <c r="AM8" s="452">
        <f t="shared" si="4"/>
        <v>1569717</v>
      </c>
      <c r="AN8" s="452">
        <f t="shared" si="4"/>
        <v>1538600</v>
      </c>
      <c r="AO8" s="452">
        <f t="shared" si="4"/>
        <v>156654511</v>
      </c>
      <c r="AP8" s="452">
        <f t="shared" si="4"/>
        <v>208524531</v>
      </c>
      <c r="AQ8" s="452">
        <f t="shared" si="4"/>
        <v>10198718</v>
      </c>
      <c r="AR8" s="452">
        <f t="shared" si="4"/>
        <v>12051037</v>
      </c>
      <c r="AS8" s="452">
        <f t="shared" si="4"/>
        <v>12776605</v>
      </c>
      <c r="AT8" s="452">
        <f t="shared" si="4"/>
        <v>14798088</v>
      </c>
      <c r="AU8" s="452">
        <f t="shared" si="4"/>
        <v>24357951</v>
      </c>
      <c r="AV8" s="452">
        <f t="shared" si="4"/>
        <v>31152717</v>
      </c>
      <c r="AW8" s="453">
        <f t="shared" si="2"/>
        <v>907389972</v>
      </c>
      <c r="AX8" s="453">
        <f t="shared" si="3"/>
        <v>1110337957</v>
      </c>
      <c r="AY8" s="454"/>
      <c r="AZ8" s="471"/>
      <c r="BA8" s="471">
        <f t="shared" si="0"/>
        <v>907389972</v>
      </c>
      <c r="BB8" s="471">
        <f t="shared" si="1"/>
        <v>1110337957</v>
      </c>
    </row>
    <row r="9" spans="1:54" ht="17.25">
      <c r="A9" s="455" t="s">
        <v>170</v>
      </c>
      <c r="B9" s="459"/>
      <c r="C9" s="788"/>
      <c r="D9" s="857"/>
      <c r="E9" s="759"/>
      <c r="F9" s="454"/>
      <c r="G9" s="454"/>
      <c r="H9" s="462"/>
      <c r="I9" s="454"/>
      <c r="J9" s="454"/>
      <c r="K9" s="454"/>
      <c r="L9" s="454"/>
      <c r="M9" s="454"/>
      <c r="N9" s="465"/>
      <c r="O9" s="465"/>
      <c r="P9" s="454"/>
      <c r="Q9" s="454"/>
      <c r="R9" s="468"/>
      <c r="S9" s="468"/>
      <c r="T9" s="454"/>
      <c r="U9" s="454"/>
      <c r="V9" s="454"/>
      <c r="W9" s="454"/>
      <c r="X9" s="454"/>
      <c r="Y9" s="454"/>
      <c r="Z9" s="454"/>
      <c r="AA9" s="454"/>
      <c r="AB9" s="470"/>
      <c r="AC9" s="470"/>
      <c r="AD9" s="454"/>
      <c r="AE9" s="454"/>
      <c r="AF9" s="472"/>
      <c r="AG9" s="472"/>
      <c r="AH9" s="454"/>
      <c r="AI9" s="454"/>
      <c r="AJ9" s="454"/>
      <c r="AK9" s="454"/>
      <c r="AL9" s="454"/>
      <c r="AM9" s="454"/>
      <c r="AN9" s="473"/>
      <c r="AO9" s="473"/>
      <c r="AP9" s="443"/>
      <c r="AQ9" s="443"/>
      <c r="AR9" s="477"/>
      <c r="AS9" s="477"/>
      <c r="AT9" s="471"/>
      <c r="AU9" s="471"/>
      <c r="AV9" s="454"/>
      <c r="AW9" s="453">
        <f t="shared" si="2"/>
        <v>0</v>
      </c>
      <c r="AX9" s="453">
        <f t="shared" si="3"/>
        <v>0</v>
      </c>
      <c r="AY9" s="454">
        <v>1513382674</v>
      </c>
      <c r="AZ9" s="454">
        <v>1640149665</v>
      </c>
      <c r="BA9" s="471">
        <f t="shared" si="0"/>
        <v>1513382674</v>
      </c>
      <c r="BB9" s="471">
        <f t="shared" si="1"/>
        <v>1640149665</v>
      </c>
    </row>
    <row r="10" spans="1:54" ht="17.25">
      <c r="A10" s="387" t="s">
        <v>171</v>
      </c>
      <c r="B10" s="459"/>
      <c r="C10" s="788">
        <v>16108931</v>
      </c>
      <c r="D10" s="856">
        <v>17847067</v>
      </c>
      <c r="E10" s="758">
        <v>647283</v>
      </c>
      <c r="F10" s="453">
        <v>808730</v>
      </c>
      <c r="G10" s="453">
        <v>1191659</v>
      </c>
      <c r="H10" s="461">
        <v>1230578</v>
      </c>
      <c r="I10" s="453">
        <v>4572502</v>
      </c>
      <c r="J10" s="453">
        <v>4549073</v>
      </c>
      <c r="K10" s="453">
        <v>1353237</v>
      </c>
      <c r="L10" s="453">
        <v>1780067</v>
      </c>
      <c r="M10" s="453"/>
      <c r="N10" s="464">
        <v>4636964</v>
      </c>
      <c r="O10" s="464"/>
      <c r="P10" s="453">
        <v>1159583</v>
      </c>
      <c r="Q10" s="453">
        <v>226485</v>
      </c>
      <c r="R10" s="467">
        <v>429188</v>
      </c>
      <c r="S10" s="467">
        <v>5619825</v>
      </c>
      <c r="T10" s="453">
        <v>6340727</v>
      </c>
      <c r="U10" s="453">
        <v>1743737</v>
      </c>
      <c r="V10" s="453">
        <v>1815330</v>
      </c>
      <c r="W10" s="453">
        <v>34725222</v>
      </c>
      <c r="X10" s="453">
        <v>40676129</v>
      </c>
      <c r="Y10" s="453">
        <v>38169027</v>
      </c>
      <c r="Z10" s="453">
        <v>41929169</v>
      </c>
      <c r="AA10" s="453">
        <v>2621270</v>
      </c>
      <c r="AB10" s="453">
        <v>3144673</v>
      </c>
      <c r="AC10" s="453">
        <v>4764490</v>
      </c>
      <c r="AD10" s="453">
        <v>5624996</v>
      </c>
      <c r="AE10" s="453">
        <v>7688158</v>
      </c>
      <c r="AF10" s="453">
        <v>9213980</v>
      </c>
      <c r="AG10" s="453">
        <v>17940472</v>
      </c>
      <c r="AH10" s="453">
        <v>22199064</v>
      </c>
      <c r="AI10" s="453">
        <v>7193394</v>
      </c>
      <c r="AJ10" s="453">
        <v>8108623</v>
      </c>
      <c r="AK10" s="453">
        <v>6672747</v>
      </c>
      <c r="AL10" s="453">
        <v>7139029</v>
      </c>
      <c r="AM10" s="453">
        <v>648694</v>
      </c>
      <c r="AN10" s="473">
        <v>676438</v>
      </c>
      <c r="AO10" s="473">
        <v>41611044</v>
      </c>
      <c r="AP10" s="474">
        <v>51114667</v>
      </c>
      <c r="AQ10" s="474">
        <v>1281212</v>
      </c>
      <c r="AR10" s="477">
        <v>1483906</v>
      </c>
      <c r="AS10" s="477">
        <v>3147391</v>
      </c>
      <c r="AT10" s="471">
        <v>3410571</v>
      </c>
      <c r="AU10" s="471">
        <v>9309737</v>
      </c>
      <c r="AV10" s="454">
        <v>9698765</v>
      </c>
      <c r="AW10" s="453">
        <f t="shared" si="2"/>
        <v>207236517</v>
      </c>
      <c r="AX10" s="453">
        <f t="shared" si="3"/>
        <v>245017317</v>
      </c>
      <c r="AY10" s="454">
        <v>141856517</v>
      </c>
      <c r="AZ10" s="471">
        <v>215032848</v>
      </c>
      <c r="BA10" s="471">
        <f t="shared" si="0"/>
        <v>349093034</v>
      </c>
      <c r="BB10" s="471">
        <f t="shared" si="1"/>
        <v>460050165</v>
      </c>
    </row>
    <row r="11" spans="1:54" ht="17.25">
      <c r="A11" s="387" t="s">
        <v>172</v>
      </c>
      <c r="B11" s="459"/>
      <c r="C11" s="788">
        <v>14000841</v>
      </c>
      <c r="D11" s="856">
        <v>14900982</v>
      </c>
      <c r="E11" s="758">
        <v>650186</v>
      </c>
      <c r="F11" s="453">
        <v>881276</v>
      </c>
      <c r="G11" s="453">
        <v>687904</v>
      </c>
      <c r="H11" s="461">
        <v>1259443</v>
      </c>
      <c r="I11" s="453">
        <v>16798229</v>
      </c>
      <c r="J11" s="453">
        <v>20587387</v>
      </c>
      <c r="K11" s="453">
        <v>2485180</v>
      </c>
      <c r="L11" s="453">
        <v>2420461</v>
      </c>
      <c r="M11" s="453"/>
      <c r="N11" s="464">
        <v>6508039</v>
      </c>
      <c r="O11" s="464"/>
      <c r="P11" s="453">
        <v>415253</v>
      </c>
      <c r="Q11" s="453">
        <v>108231</v>
      </c>
      <c r="R11" s="467">
        <v>322609</v>
      </c>
      <c r="S11" s="467">
        <v>2813900</v>
      </c>
      <c r="T11" s="453">
        <v>3149998</v>
      </c>
      <c r="U11" s="453">
        <v>453835</v>
      </c>
      <c r="V11" s="453">
        <v>875147</v>
      </c>
      <c r="W11" s="453">
        <v>37552531</v>
      </c>
      <c r="X11" s="453">
        <v>38940647</v>
      </c>
      <c r="Y11" s="453">
        <v>50831148</v>
      </c>
      <c r="Z11" s="453">
        <v>71983835</v>
      </c>
      <c r="AA11" s="453">
        <v>1127162</v>
      </c>
      <c r="AB11" s="453">
        <v>2686905</v>
      </c>
      <c r="AC11" s="453">
        <v>2535663</v>
      </c>
      <c r="AD11" s="453">
        <v>3136736</v>
      </c>
      <c r="AE11" s="453">
        <v>7222059</v>
      </c>
      <c r="AF11" s="453">
        <v>9618090</v>
      </c>
      <c r="AG11" s="453">
        <v>11516506</v>
      </c>
      <c r="AH11" s="453">
        <v>13002137</v>
      </c>
      <c r="AI11" s="453">
        <v>4613278</v>
      </c>
      <c r="AJ11" s="453">
        <v>5675410</v>
      </c>
      <c r="AK11" s="453">
        <v>9147501</v>
      </c>
      <c r="AL11" s="453">
        <v>8906713</v>
      </c>
      <c r="AM11" s="453">
        <v>152098</v>
      </c>
      <c r="AN11" s="473">
        <v>181028</v>
      </c>
      <c r="AO11" s="473">
        <v>29625807</v>
      </c>
      <c r="AP11" s="474">
        <v>30467611</v>
      </c>
      <c r="AQ11" s="474">
        <v>566132</v>
      </c>
      <c r="AR11" s="477">
        <v>819164</v>
      </c>
      <c r="AS11" s="477">
        <v>1518217</v>
      </c>
      <c r="AT11" s="471">
        <v>2653553</v>
      </c>
      <c r="AU11" s="471">
        <v>14946086</v>
      </c>
      <c r="AV11" s="453">
        <v>13914092</v>
      </c>
      <c r="AW11" s="453">
        <f t="shared" si="2"/>
        <v>209352494</v>
      </c>
      <c r="AX11" s="453">
        <f t="shared" si="3"/>
        <v>253306516</v>
      </c>
      <c r="AY11" s="454">
        <v>-12775661</v>
      </c>
      <c r="AZ11" s="471">
        <v>-12481175</v>
      </c>
      <c r="BA11" s="471">
        <f t="shared" si="0"/>
        <v>196576833</v>
      </c>
      <c r="BB11" s="471">
        <f t="shared" si="1"/>
        <v>240825341</v>
      </c>
    </row>
    <row r="12" spans="1:54" ht="17.25">
      <c r="A12" s="387" t="s">
        <v>173</v>
      </c>
      <c r="B12" s="459"/>
      <c r="C12" s="788">
        <v>-5332738</v>
      </c>
      <c r="D12" s="856">
        <v>-4439979</v>
      </c>
      <c r="E12" s="758">
        <v>-419638</v>
      </c>
      <c r="F12" s="453">
        <v>-320185</v>
      </c>
      <c r="G12" s="453">
        <v>-829834</v>
      </c>
      <c r="H12" s="461">
        <v>-253781</v>
      </c>
      <c r="I12" s="453">
        <v>-7717979</v>
      </c>
      <c r="J12" s="453">
        <v>-3801248</v>
      </c>
      <c r="K12" s="453">
        <v>-353791</v>
      </c>
      <c r="L12" s="453">
        <v>-412652</v>
      </c>
      <c r="M12" s="453"/>
      <c r="N12" s="464">
        <v>-952139</v>
      </c>
      <c r="O12" s="464"/>
      <c r="P12" s="453">
        <v>-30350</v>
      </c>
      <c r="Q12" s="453">
        <v>-65778</v>
      </c>
      <c r="R12" s="467">
        <v>-151497</v>
      </c>
      <c r="S12" s="467">
        <v>-1134976</v>
      </c>
      <c r="T12" s="453">
        <v>-668347</v>
      </c>
      <c r="U12" s="453">
        <v>-334964</v>
      </c>
      <c r="V12" s="453">
        <v>-128854</v>
      </c>
      <c r="W12" s="453">
        <v>-9849434</v>
      </c>
      <c r="X12" s="453">
        <v>-3900126</v>
      </c>
      <c r="Y12" s="453">
        <v>-10621715</v>
      </c>
      <c r="Z12" s="453">
        <v>-10458133</v>
      </c>
      <c r="AA12" s="453">
        <v>-1481503</v>
      </c>
      <c r="AB12" s="453">
        <v>-504873</v>
      </c>
      <c r="AC12" s="453">
        <v>-366991</v>
      </c>
      <c r="AD12" s="453">
        <v>-259185</v>
      </c>
      <c r="AE12" s="453">
        <v>-3343476</v>
      </c>
      <c r="AF12" s="453">
        <v>-2956687</v>
      </c>
      <c r="AG12" s="453">
        <v>-6549128</v>
      </c>
      <c r="AH12" s="453">
        <v>-3457779</v>
      </c>
      <c r="AI12" s="453">
        <v>-1034182</v>
      </c>
      <c r="AJ12" s="453">
        <v>-513220</v>
      </c>
      <c r="AK12" s="453">
        <v>-2566833</v>
      </c>
      <c r="AL12" s="453">
        <v>-1376938</v>
      </c>
      <c r="AM12" s="453">
        <v>-92142</v>
      </c>
      <c r="AN12" s="473">
        <v>-36208</v>
      </c>
      <c r="AO12" s="473">
        <v>-11423587</v>
      </c>
      <c r="AP12" s="474">
        <v>-5678737</v>
      </c>
      <c r="AQ12" s="474">
        <v>-182411</v>
      </c>
      <c r="AR12" s="477">
        <v>-90619</v>
      </c>
      <c r="AS12" s="477">
        <v>-601932</v>
      </c>
      <c r="AT12" s="471">
        <v>-168954</v>
      </c>
      <c r="AU12" s="471">
        <v>-1945028</v>
      </c>
      <c r="AV12" s="453">
        <v>-1349974</v>
      </c>
      <c r="AW12" s="453">
        <f t="shared" si="2"/>
        <v>-66248060</v>
      </c>
      <c r="AX12" s="453">
        <f t="shared" si="3"/>
        <v>-41910465</v>
      </c>
      <c r="AY12" s="454"/>
      <c r="AZ12" s="471"/>
      <c r="BA12" s="471">
        <f t="shared" si="0"/>
        <v>-66248060</v>
      </c>
      <c r="BB12" s="471">
        <f t="shared" si="1"/>
        <v>-41910465</v>
      </c>
    </row>
    <row r="13" spans="1:54" ht="17.25">
      <c r="A13" s="387" t="s">
        <v>174</v>
      </c>
      <c r="B13" s="459"/>
      <c r="C13" s="788">
        <v>-18343422</v>
      </c>
      <c r="D13" s="856">
        <v>15067780</v>
      </c>
      <c r="E13" s="758">
        <v>-785322</v>
      </c>
      <c r="F13" s="453">
        <v>560469</v>
      </c>
      <c r="G13" s="453">
        <v>-512066</v>
      </c>
      <c r="H13" s="461">
        <v>2116148</v>
      </c>
      <c r="I13" s="453">
        <v>-21154523</v>
      </c>
      <c r="J13" s="453">
        <v>10757215</v>
      </c>
      <c r="K13" s="453">
        <v>-2892622</v>
      </c>
      <c r="L13" s="453">
        <v>707469</v>
      </c>
      <c r="M13" s="453"/>
      <c r="N13" s="464">
        <v>4937705</v>
      </c>
      <c r="O13" s="464"/>
      <c r="P13" s="453">
        <v>110649</v>
      </c>
      <c r="Q13" s="453">
        <v>-23901</v>
      </c>
      <c r="R13" s="467">
        <v>84311</v>
      </c>
      <c r="S13" s="467">
        <v>-2328802</v>
      </c>
      <c r="T13" s="453">
        <v>1227588</v>
      </c>
      <c r="U13" s="453">
        <v>-496796</v>
      </c>
      <c r="V13" s="453">
        <v>126247</v>
      </c>
      <c r="W13" s="453">
        <v>-44710459</v>
      </c>
      <c r="X13" s="453">
        <v>35836588</v>
      </c>
      <c r="Y13" s="453">
        <v>-71691366</v>
      </c>
      <c r="Z13" s="453">
        <v>40579413</v>
      </c>
      <c r="AA13" s="453">
        <v>-792103</v>
      </c>
      <c r="AB13" s="453">
        <v>84357</v>
      </c>
      <c r="AC13" s="453">
        <v>3235167</v>
      </c>
      <c r="AD13" s="453">
        <v>1165741</v>
      </c>
      <c r="AE13" s="453">
        <v>-6407316</v>
      </c>
      <c r="AF13" s="453">
        <v>8043394</v>
      </c>
      <c r="AG13" s="453">
        <v>-10201414</v>
      </c>
      <c r="AH13" s="453">
        <v>10375013</v>
      </c>
      <c r="AI13" s="453">
        <v>-7945453</v>
      </c>
      <c r="AJ13" s="453">
        <v>1935283</v>
      </c>
      <c r="AK13" s="453">
        <v>-9105199</v>
      </c>
      <c r="AL13" s="453">
        <v>2284666</v>
      </c>
      <c r="AM13" s="453">
        <v>-281006</v>
      </c>
      <c r="AN13" s="473">
        <v>57255</v>
      </c>
      <c r="AO13" s="473">
        <v>-29930076</v>
      </c>
      <c r="AP13" s="474">
        <v>15200601</v>
      </c>
      <c r="AQ13" s="474"/>
      <c r="AR13" s="477"/>
      <c r="AS13" s="477"/>
      <c r="AT13" s="471"/>
      <c r="AU13" s="471">
        <v>-17019121</v>
      </c>
      <c r="AV13" s="453">
        <v>2803612</v>
      </c>
      <c r="AW13" s="453">
        <f t="shared" si="2"/>
        <v>-241385800</v>
      </c>
      <c r="AX13" s="453">
        <f t="shared" si="3"/>
        <v>154061504</v>
      </c>
      <c r="AY13" s="454">
        <v>-72494950</v>
      </c>
      <c r="AZ13" s="471">
        <v>75527804</v>
      </c>
      <c r="BA13" s="471">
        <f t="shared" si="0"/>
        <v>-313880750</v>
      </c>
      <c r="BB13" s="471">
        <f t="shared" si="1"/>
        <v>229589308</v>
      </c>
    </row>
    <row r="14" spans="1:54" ht="17.25">
      <c r="A14" s="387" t="s">
        <v>175</v>
      </c>
      <c r="B14" s="459"/>
      <c r="C14" s="788"/>
      <c r="D14" s="857"/>
      <c r="E14" s="759">
        <v>191452</v>
      </c>
      <c r="F14" s="454">
        <v>123689</v>
      </c>
      <c r="G14" s="454"/>
      <c r="H14" s="462"/>
      <c r="I14" s="454">
        <v>-6256024</v>
      </c>
      <c r="J14" s="454">
        <v>1708770</v>
      </c>
      <c r="K14" s="454"/>
      <c r="L14" s="454"/>
      <c r="M14" s="454"/>
      <c r="N14" s="465"/>
      <c r="O14" s="465"/>
      <c r="P14" s="454">
        <v>-20031</v>
      </c>
      <c r="Q14" s="454"/>
      <c r="R14" s="468"/>
      <c r="S14" s="468"/>
      <c r="T14" s="454"/>
      <c r="U14" s="454"/>
      <c r="V14" s="454"/>
      <c r="W14" s="454">
        <v>187874</v>
      </c>
      <c r="X14" s="454">
        <v>-146848</v>
      </c>
      <c r="Y14" s="454">
        <v>5396586</v>
      </c>
      <c r="Z14" s="454">
        <v>5735170</v>
      </c>
      <c r="AA14" s="454">
        <v>111988</v>
      </c>
      <c r="AB14" s="470">
        <v>162139</v>
      </c>
      <c r="AC14" s="470">
        <v>485851</v>
      </c>
      <c r="AD14" s="454">
        <v>369542</v>
      </c>
      <c r="AE14" s="454"/>
      <c r="AF14" s="472"/>
      <c r="AG14" s="472">
        <v>192402</v>
      </c>
      <c r="AH14" s="454">
        <v>-11531</v>
      </c>
      <c r="AI14" s="454"/>
      <c r="AJ14" s="454"/>
      <c r="AK14" s="454">
        <v>1615159</v>
      </c>
      <c r="AL14" s="454">
        <v>1557472</v>
      </c>
      <c r="AM14" s="454">
        <v>-18842</v>
      </c>
      <c r="AN14" s="473">
        <v>18842</v>
      </c>
      <c r="AO14" s="473">
        <v>3525962</v>
      </c>
      <c r="AP14" s="474">
        <v>1845699</v>
      </c>
      <c r="AQ14" s="474">
        <v>17633</v>
      </c>
      <c r="AR14" s="477">
        <v>9460</v>
      </c>
      <c r="AS14" s="477"/>
      <c r="AT14" s="471"/>
      <c r="AU14" s="471"/>
      <c r="AV14" s="454"/>
      <c r="AW14" s="453">
        <f t="shared" si="2"/>
        <v>5450041</v>
      </c>
      <c r="AX14" s="453">
        <f t="shared" si="3"/>
        <v>11352373</v>
      </c>
      <c r="AY14" s="454"/>
      <c r="AZ14" s="454"/>
      <c r="BA14" s="471">
        <f t="shared" si="0"/>
        <v>5450041</v>
      </c>
      <c r="BB14" s="471">
        <f t="shared" si="1"/>
        <v>11352373</v>
      </c>
    </row>
    <row r="15" spans="1:54" ht="17.25">
      <c r="A15" s="387" t="s">
        <v>241</v>
      </c>
      <c r="B15" s="459"/>
      <c r="C15" s="788"/>
      <c r="D15" s="857"/>
      <c r="E15" s="759"/>
      <c r="F15" s="454"/>
      <c r="G15" s="454"/>
      <c r="H15" s="462"/>
      <c r="I15" s="454"/>
      <c r="J15" s="454"/>
      <c r="K15" s="454"/>
      <c r="L15" s="454"/>
      <c r="M15" s="454"/>
      <c r="N15" s="465"/>
      <c r="O15" s="465"/>
      <c r="P15" s="454"/>
      <c r="Q15" s="454"/>
      <c r="R15" s="468"/>
      <c r="S15" s="468"/>
      <c r="T15" s="454"/>
      <c r="U15" s="454"/>
      <c r="V15" s="454"/>
      <c r="W15" s="454"/>
      <c r="X15" s="454"/>
      <c r="Y15" s="454"/>
      <c r="Z15" s="454"/>
      <c r="AA15" s="454"/>
      <c r="AB15" s="470"/>
      <c r="AC15" s="470"/>
      <c r="AD15" s="454"/>
      <c r="AE15" s="454"/>
      <c r="AF15" s="472"/>
      <c r="AG15" s="472"/>
      <c r="AH15" s="454"/>
      <c r="AI15" s="454"/>
      <c r="AJ15" s="454"/>
      <c r="AK15" s="454"/>
      <c r="AL15" s="454"/>
      <c r="AM15" s="454"/>
      <c r="AN15" s="473"/>
      <c r="AO15" s="473"/>
      <c r="AP15" s="474"/>
      <c r="AQ15" s="474">
        <v>-933989</v>
      </c>
      <c r="AR15" s="477">
        <v>527500</v>
      </c>
      <c r="AS15" s="477">
        <v>-2547533</v>
      </c>
      <c r="AT15" s="471">
        <v>1066779</v>
      </c>
      <c r="AU15" s="471"/>
      <c r="AV15" s="454"/>
      <c r="AW15" s="453">
        <f t="shared" si="2"/>
        <v>-3481522</v>
      </c>
      <c r="AX15" s="453">
        <f t="shared" si="3"/>
        <v>1594279</v>
      </c>
      <c r="AY15" s="454"/>
      <c r="AZ15" s="454"/>
      <c r="BA15" s="471">
        <f t="shared" si="0"/>
        <v>-3481522</v>
      </c>
      <c r="BB15" s="471">
        <f t="shared" si="1"/>
        <v>1594279</v>
      </c>
    </row>
    <row r="16" spans="1:54" ht="17.25">
      <c r="A16" s="455" t="s">
        <v>176</v>
      </c>
      <c r="B16" s="459"/>
      <c r="C16" s="788"/>
      <c r="D16" s="856"/>
      <c r="E16" s="758"/>
      <c r="F16" s="453"/>
      <c r="G16" s="453"/>
      <c r="H16" s="461"/>
      <c r="I16" s="453"/>
      <c r="J16" s="453"/>
      <c r="K16" s="453"/>
      <c r="L16" s="453"/>
      <c r="M16" s="453"/>
      <c r="N16" s="464"/>
      <c r="O16" s="464"/>
      <c r="P16" s="453"/>
      <c r="Q16" s="453"/>
      <c r="R16" s="467"/>
      <c r="S16" s="467"/>
      <c r="T16" s="453"/>
      <c r="U16" s="453"/>
      <c r="V16" s="453"/>
      <c r="W16" s="453"/>
      <c r="X16" s="453"/>
      <c r="Y16" s="453"/>
      <c r="Z16" s="453"/>
      <c r="AA16" s="453"/>
      <c r="AB16" s="470"/>
      <c r="AC16" s="470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73"/>
      <c r="AO16" s="473"/>
      <c r="AP16" s="443"/>
      <c r="AQ16" s="443"/>
      <c r="AR16" s="477"/>
      <c r="AS16" s="477"/>
      <c r="AT16" s="471"/>
      <c r="AU16" s="471"/>
      <c r="AV16" s="453"/>
      <c r="AW16" s="453">
        <f t="shared" si="2"/>
        <v>0</v>
      </c>
      <c r="AX16" s="453">
        <f t="shared" si="3"/>
        <v>0</v>
      </c>
      <c r="AY16" s="454"/>
      <c r="AZ16" s="453"/>
      <c r="BA16" s="471">
        <f t="shared" si="0"/>
        <v>0</v>
      </c>
      <c r="BB16" s="471">
        <f t="shared" si="1"/>
        <v>0</v>
      </c>
    </row>
    <row r="17" spans="1:54" ht="17.25">
      <c r="A17" s="387" t="s">
        <v>177</v>
      </c>
      <c r="B17" s="459"/>
      <c r="C17" s="788">
        <v>3264614</v>
      </c>
      <c r="D17" s="856">
        <v>1629995</v>
      </c>
      <c r="E17" s="758">
        <v>1015379</v>
      </c>
      <c r="F17" s="453">
        <v>75312</v>
      </c>
      <c r="G17" s="453">
        <v>113628</v>
      </c>
      <c r="H17" s="461">
        <v>-180619</v>
      </c>
      <c r="I17" s="453"/>
      <c r="J17" s="453"/>
      <c r="K17" s="453">
        <v>688561</v>
      </c>
      <c r="L17" s="453">
        <v>678081</v>
      </c>
      <c r="M17" s="453"/>
      <c r="N17" s="464">
        <v>11401</v>
      </c>
      <c r="O17" s="464"/>
      <c r="P17" s="453">
        <v>566612</v>
      </c>
      <c r="Q17" s="453">
        <v>2126681</v>
      </c>
      <c r="R17" s="467">
        <v>2933958</v>
      </c>
      <c r="S17" s="467">
        <v>429022</v>
      </c>
      <c r="T17" s="453">
        <v>35417</v>
      </c>
      <c r="U17" s="453">
        <v>646824</v>
      </c>
      <c r="V17" s="453">
        <v>1066442</v>
      </c>
      <c r="W17" s="453">
        <v>380041</v>
      </c>
      <c r="X17" s="453">
        <v>353890</v>
      </c>
      <c r="Y17" s="453"/>
      <c r="Z17" s="453">
        <v>18019</v>
      </c>
      <c r="AA17" s="453">
        <v>221871</v>
      </c>
      <c r="AB17" s="470">
        <v>22009</v>
      </c>
      <c r="AC17" s="470">
        <v>514352</v>
      </c>
      <c r="AD17" s="453">
        <v>696170</v>
      </c>
      <c r="AE17" s="453">
        <v>53031</v>
      </c>
      <c r="AF17" s="453">
        <v>27718</v>
      </c>
      <c r="AG17" s="453">
        <v>18743</v>
      </c>
      <c r="AH17" s="453">
        <v>2398</v>
      </c>
      <c r="AI17" s="453"/>
      <c r="AJ17" s="453"/>
      <c r="AK17" s="453">
        <v>3823846</v>
      </c>
      <c r="AL17" s="453">
        <v>1954104</v>
      </c>
      <c r="AM17" s="453">
        <v>48666</v>
      </c>
      <c r="AN17" s="473"/>
      <c r="AO17" s="473">
        <v>930685</v>
      </c>
      <c r="AP17" s="443">
        <v>626829</v>
      </c>
      <c r="AQ17" s="443">
        <v>501411</v>
      </c>
      <c r="AR17" s="477">
        <v>360879</v>
      </c>
      <c r="AS17" s="477"/>
      <c r="AT17" s="471"/>
      <c r="AU17" s="471">
        <v>757257</v>
      </c>
      <c r="AV17" s="453">
        <v>1765030</v>
      </c>
      <c r="AW17" s="453">
        <f t="shared" si="2"/>
        <v>15534612</v>
      </c>
      <c r="AX17" s="453">
        <f t="shared" si="3"/>
        <v>12643645</v>
      </c>
      <c r="AY17" s="454"/>
      <c r="AZ17" s="453"/>
      <c r="BA17" s="471">
        <f t="shared" si="0"/>
        <v>15534612</v>
      </c>
      <c r="BB17" s="471">
        <f t="shared" si="1"/>
        <v>12643645</v>
      </c>
    </row>
    <row r="18" spans="1:54" ht="17.25">
      <c r="A18" s="387" t="s">
        <v>178</v>
      </c>
      <c r="B18" s="459"/>
      <c r="C18" s="788"/>
      <c r="D18" s="856"/>
      <c r="E18" s="758"/>
      <c r="F18" s="453"/>
      <c r="G18" s="453"/>
      <c r="H18" s="461"/>
      <c r="I18" s="453"/>
      <c r="J18" s="453"/>
      <c r="K18" s="453"/>
      <c r="L18" s="453"/>
      <c r="M18" s="453"/>
      <c r="N18" s="464"/>
      <c r="O18" s="464"/>
      <c r="P18" s="453"/>
      <c r="Q18" s="453">
        <v>564</v>
      </c>
      <c r="R18" s="467"/>
      <c r="S18" s="467"/>
      <c r="T18" s="453"/>
      <c r="U18" s="453"/>
      <c r="V18" s="453"/>
      <c r="W18" s="453"/>
      <c r="X18" s="453">
        <v>616270</v>
      </c>
      <c r="Y18" s="453"/>
      <c r="Z18" s="453">
        <v>403684</v>
      </c>
      <c r="AA18" s="453"/>
      <c r="AB18" s="470"/>
      <c r="AC18" s="470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73"/>
      <c r="AO18" s="473"/>
      <c r="AP18" s="474"/>
      <c r="AQ18" s="474"/>
      <c r="AR18" s="477"/>
      <c r="AS18" s="477"/>
      <c r="AT18" s="471"/>
      <c r="AU18" s="471"/>
      <c r="AV18" s="453"/>
      <c r="AW18" s="453">
        <f aca="true" t="shared" si="5" ref="AW18:AW28">SUM(C18+E18+G18+I18+K18+M18+O18+Q18+S18+U18+W18+Y18+AA18+AC18+AE18+AG18+AI18+AK18+AM18+AO18+AQ18+AS18+AU18)</f>
        <v>564</v>
      </c>
      <c r="AX18" s="453">
        <f aca="true" t="shared" si="6" ref="AX18:AX28">SUM(D18+F18+H18+J18+L18+N18+P18+R18+T18+V18+X18+Z18+AB18+AD18+AF18+AH18+AJ18+AL18+AN18+AP18+AR18+AT18+AV18)</f>
        <v>1019954</v>
      </c>
      <c r="AY18" s="454"/>
      <c r="AZ18" s="453"/>
      <c r="BA18" s="471">
        <f t="shared" si="0"/>
        <v>564</v>
      </c>
      <c r="BB18" s="471">
        <f t="shared" si="1"/>
        <v>1019954</v>
      </c>
    </row>
    <row r="19" spans="1:54" ht="17.25">
      <c r="A19" s="387" t="s">
        <v>179</v>
      </c>
      <c r="B19" s="459"/>
      <c r="C19" s="788">
        <v>347376</v>
      </c>
      <c r="D19" s="856">
        <v>332166</v>
      </c>
      <c r="E19" s="758">
        <v>76</v>
      </c>
      <c r="F19" s="453">
        <v>178</v>
      </c>
      <c r="G19" s="453">
        <f>14099+5447</f>
        <v>19546</v>
      </c>
      <c r="H19" s="461">
        <f>12759+4156</f>
        <v>16915</v>
      </c>
      <c r="I19" s="453">
        <v>79378</v>
      </c>
      <c r="J19" s="453">
        <v>15592</v>
      </c>
      <c r="K19" s="453">
        <f>-5778+1843+16689</f>
        <v>12754</v>
      </c>
      <c r="L19" s="453">
        <f>538+908+30635</f>
        <v>32081</v>
      </c>
      <c r="M19" s="453"/>
      <c r="N19" s="464">
        <v>46842</v>
      </c>
      <c r="O19" s="464"/>
      <c r="P19" s="453">
        <v>1899</v>
      </c>
      <c r="Q19" s="453"/>
      <c r="R19" s="467">
        <v>2212</v>
      </c>
      <c r="S19" s="467">
        <v>198144</v>
      </c>
      <c r="T19" s="453">
        <v>162460</v>
      </c>
      <c r="U19" s="453">
        <v>44804</v>
      </c>
      <c r="V19" s="453">
        <f>32941-47</f>
        <v>32894</v>
      </c>
      <c r="W19" s="453">
        <v>591131</v>
      </c>
      <c r="X19" s="453">
        <v>419001</v>
      </c>
      <c r="Y19" s="453">
        <f>177180+31622</f>
        <v>208802</v>
      </c>
      <c r="Z19" s="453">
        <f>169213+17558</f>
        <v>186771</v>
      </c>
      <c r="AA19" s="453">
        <v>4019</v>
      </c>
      <c r="AB19" s="470">
        <v>2719</v>
      </c>
      <c r="AC19" s="470">
        <v>2041</v>
      </c>
      <c r="AD19" s="453">
        <v>4805</v>
      </c>
      <c r="AE19" s="453">
        <f>34090+2490</f>
        <v>36580</v>
      </c>
      <c r="AF19" s="453">
        <f>60902+4762</f>
        <v>65664</v>
      </c>
      <c r="AG19" s="453">
        <v>146666</v>
      </c>
      <c r="AH19" s="453">
        <v>189174</v>
      </c>
      <c r="AI19" s="453">
        <f>22522+107086-944</f>
        <v>128664</v>
      </c>
      <c r="AJ19" s="453">
        <f>28756+167332-23649</f>
        <v>172439</v>
      </c>
      <c r="AK19" s="453">
        <v>175672</v>
      </c>
      <c r="AL19" s="453">
        <v>172652</v>
      </c>
      <c r="AM19" s="453">
        <v>23027</v>
      </c>
      <c r="AN19" s="473">
        <v>26904</v>
      </c>
      <c r="AO19" s="473">
        <v>196950</v>
      </c>
      <c r="AP19" s="474">
        <v>673931</v>
      </c>
      <c r="AQ19" s="474">
        <v>47262</v>
      </c>
      <c r="AR19" s="477">
        <v>24317</v>
      </c>
      <c r="AS19" s="477">
        <v>43696</v>
      </c>
      <c r="AT19" s="471">
        <v>35531</v>
      </c>
      <c r="AU19" s="471">
        <f>20784+258330+5353+108004</f>
        <v>392471</v>
      </c>
      <c r="AV19" s="453">
        <f>162665+20459+273266-667</f>
        <v>455723</v>
      </c>
      <c r="AW19" s="453">
        <f t="shared" si="5"/>
        <v>2699059</v>
      </c>
      <c r="AX19" s="453">
        <f t="shared" si="6"/>
        <v>3072870</v>
      </c>
      <c r="AY19" s="454">
        <f>439278+11325943</f>
        <v>11765221</v>
      </c>
      <c r="AZ19" s="453">
        <f>714659+5355311</f>
        <v>6069970</v>
      </c>
      <c r="BA19" s="471">
        <f t="shared" si="0"/>
        <v>14464280</v>
      </c>
      <c r="BB19" s="471">
        <f t="shared" si="1"/>
        <v>9142840</v>
      </c>
    </row>
    <row r="20" spans="1:54" ht="17.25">
      <c r="A20" s="455" t="s">
        <v>169</v>
      </c>
      <c r="B20" s="459"/>
      <c r="C20" s="788"/>
      <c r="D20" s="857"/>
      <c r="E20" s="759"/>
      <c r="F20" s="454"/>
      <c r="G20" s="454"/>
      <c r="H20" s="462"/>
      <c r="I20" s="454"/>
      <c r="J20" s="454"/>
      <c r="K20" s="454"/>
      <c r="L20" s="454"/>
      <c r="M20" s="454"/>
      <c r="N20" s="465"/>
      <c r="O20" s="465"/>
      <c r="P20" s="454"/>
      <c r="Q20" s="454"/>
      <c r="R20" s="468"/>
      <c r="S20" s="468"/>
      <c r="T20" s="454"/>
      <c r="U20" s="454"/>
      <c r="V20" s="454"/>
      <c r="W20" s="454"/>
      <c r="X20" s="454"/>
      <c r="Y20" s="454"/>
      <c r="Z20" s="454"/>
      <c r="AA20" s="454"/>
      <c r="AB20" s="470"/>
      <c r="AC20" s="470"/>
      <c r="AD20" s="454"/>
      <c r="AE20" s="454"/>
      <c r="AF20" s="472"/>
      <c r="AG20" s="472"/>
      <c r="AH20" s="454"/>
      <c r="AI20" s="454"/>
      <c r="AJ20" s="454"/>
      <c r="AK20" s="454"/>
      <c r="AL20" s="454"/>
      <c r="AM20" s="454"/>
      <c r="AN20" s="473"/>
      <c r="AO20" s="473"/>
      <c r="AP20" s="475"/>
      <c r="AQ20" s="475"/>
      <c r="AR20" s="477"/>
      <c r="AS20" s="477"/>
      <c r="AT20" s="471"/>
      <c r="AU20" s="471"/>
      <c r="AV20" s="454"/>
      <c r="AW20" s="453">
        <f t="shared" si="5"/>
        <v>0</v>
      </c>
      <c r="AX20" s="453">
        <f t="shared" si="6"/>
        <v>0</v>
      </c>
      <c r="AY20" s="454"/>
      <c r="AZ20" s="454"/>
      <c r="BA20" s="471">
        <f t="shared" si="0"/>
        <v>0</v>
      </c>
      <c r="BB20" s="471">
        <f t="shared" si="1"/>
        <v>0</v>
      </c>
    </row>
    <row r="21" spans="1:54" s="873" customFormat="1" ht="18">
      <c r="A21" s="874" t="s">
        <v>20</v>
      </c>
      <c r="B21" s="875"/>
      <c r="C21" s="876">
        <v>64162954</v>
      </c>
      <c r="D21" s="877">
        <v>100673487</v>
      </c>
      <c r="E21" s="878">
        <v>6012571</v>
      </c>
      <c r="F21" s="879">
        <v>6288267</v>
      </c>
      <c r="G21" s="879">
        <v>6366866</v>
      </c>
      <c r="H21" s="880">
        <v>9415289</v>
      </c>
      <c r="I21" s="879">
        <v>3358342</v>
      </c>
      <c r="J21" s="879">
        <v>48104523</v>
      </c>
      <c r="K21" s="879">
        <v>13187734</v>
      </c>
      <c r="L21" s="879">
        <v>18950182</v>
      </c>
      <c r="M21" s="879"/>
      <c r="N21" s="881">
        <v>37988808</v>
      </c>
      <c r="O21" s="881"/>
      <c r="P21" s="879">
        <v>13098772</v>
      </c>
      <c r="Q21" s="879">
        <v>5374089</v>
      </c>
      <c r="R21" s="887">
        <v>7879700</v>
      </c>
      <c r="S21" s="887">
        <v>25759522</v>
      </c>
      <c r="T21" s="879">
        <v>33838015</v>
      </c>
      <c r="U21" s="879">
        <v>7750279</v>
      </c>
      <c r="V21" s="879">
        <v>10865934</v>
      </c>
      <c r="W21" s="879">
        <v>180664702</v>
      </c>
      <c r="X21" s="879">
        <v>305544195</v>
      </c>
      <c r="Y21" s="879">
        <v>202279453</v>
      </c>
      <c r="Z21" s="879">
        <v>371930404</v>
      </c>
      <c r="AA21" s="879">
        <v>14120946</v>
      </c>
      <c r="AB21" s="888">
        <v>21137566</v>
      </c>
      <c r="AC21" s="888">
        <v>24071063</v>
      </c>
      <c r="AD21" s="879">
        <v>32936179</v>
      </c>
      <c r="AE21" s="879">
        <v>44381893</v>
      </c>
      <c r="AF21" s="879">
        <v>74686743</v>
      </c>
      <c r="AG21" s="879">
        <v>104453513</v>
      </c>
      <c r="AH21" s="879">
        <v>149100872</v>
      </c>
      <c r="AI21" s="879">
        <v>30227982</v>
      </c>
      <c r="AJ21" s="879">
        <v>46767594</v>
      </c>
      <c r="AK21" s="879">
        <v>53469298</v>
      </c>
      <c r="AL21" s="879">
        <v>60127192</v>
      </c>
      <c r="AM21" s="879">
        <v>2050212</v>
      </c>
      <c r="AN21" s="884">
        <v>2462859</v>
      </c>
      <c r="AO21" s="884">
        <v>191191296</v>
      </c>
      <c r="AP21" s="885">
        <v>302775133</v>
      </c>
      <c r="AQ21" s="885">
        <v>11495969</v>
      </c>
      <c r="AR21" s="886">
        <v>15185645</v>
      </c>
      <c r="AS21" s="886">
        <v>14336444</v>
      </c>
      <c r="AT21" s="883">
        <v>21795568</v>
      </c>
      <c r="AU21" s="883">
        <v>30799353</v>
      </c>
      <c r="AV21" s="879">
        <v>58439965</v>
      </c>
      <c r="AW21" s="879">
        <f t="shared" si="5"/>
        <v>1035514481</v>
      </c>
      <c r="AX21" s="879">
        <f t="shared" si="6"/>
        <v>1749992892</v>
      </c>
      <c r="AY21" s="879">
        <v>4243987637</v>
      </c>
      <c r="AZ21" s="883">
        <v>4926265952</v>
      </c>
      <c r="BA21" s="883">
        <f t="shared" si="0"/>
        <v>5279502118</v>
      </c>
      <c r="BB21" s="883">
        <f t="shared" si="1"/>
        <v>6676258844</v>
      </c>
    </row>
    <row r="22" spans="1:54" ht="17.25">
      <c r="A22" s="387" t="s">
        <v>60</v>
      </c>
      <c r="B22" s="455" t="s">
        <v>180</v>
      </c>
      <c r="C22" s="843">
        <v>2180609</v>
      </c>
      <c r="D22" s="856">
        <v>2550599</v>
      </c>
      <c r="E22" s="758">
        <v>189802</v>
      </c>
      <c r="F22" s="453">
        <v>57553</v>
      </c>
      <c r="G22" s="453">
        <v>102583</v>
      </c>
      <c r="H22" s="461">
        <v>159485</v>
      </c>
      <c r="I22" s="453">
        <v>165820</v>
      </c>
      <c r="J22" s="453">
        <v>234307</v>
      </c>
      <c r="K22" s="453">
        <v>832480</v>
      </c>
      <c r="L22" s="453">
        <v>1002809</v>
      </c>
      <c r="M22" s="453"/>
      <c r="N22" s="464">
        <v>687199</v>
      </c>
      <c r="O22" s="464"/>
      <c r="P22" s="453">
        <v>259998</v>
      </c>
      <c r="Q22" s="453">
        <v>265426</v>
      </c>
      <c r="R22" s="467">
        <v>288866</v>
      </c>
      <c r="S22" s="467">
        <v>1370616</v>
      </c>
      <c r="T22" s="453">
        <v>1636180</v>
      </c>
      <c r="U22" s="453">
        <v>263781</v>
      </c>
      <c r="V22" s="453">
        <v>342151</v>
      </c>
      <c r="W22" s="453">
        <v>7018436</v>
      </c>
      <c r="X22" s="453">
        <v>6469013</v>
      </c>
      <c r="Y22" s="453">
        <v>6199768</v>
      </c>
      <c r="Z22" s="453">
        <v>7589160</v>
      </c>
      <c r="AA22" s="453">
        <v>888562</v>
      </c>
      <c r="AB22" s="470">
        <v>1003862</v>
      </c>
      <c r="AC22" s="470">
        <v>398140</v>
      </c>
      <c r="AD22" s="453">
        <v>690661</v>
      </c>
      <c r="AE22" s="453">
        <v>2581148</v>
      </c>
      <c r="AF22" s="453">
        <v>3248144</v>
      </c>
      <c r="AG22" s="453">
        <v>8210126</v>
      </c>
      <c r="AH22" s="453">
        <v>9364276</v>
      </c>
      <c r="AI22" s="453">
        <v>1614626</v>
      </c>
      <c r="AJ22" s="453">
        <v>1796521</v>
      </c>
      <c r="AK22" s="453">
        <v>2458779</v>
      </c>
      <c r="AL22" s="453">
        <v>1954104</v>
      </c>
      <c r="AM22" s="453">
        <v>80599</v>
      </c>
      <c r="AN22" s="473">
        <v>78265</v>
      </c>
      <c r="AO22" s="473">
        <v>7142575</v>
      </c>
      <c r="AP22" s="474">
        <v>7833425</v>
      </c>
      <c r="AQ22" s="474">
        <v>604840</v>
      </c>
      <c r="AR22" s="477">
        <v>702273</v>
      </c>
      <c r="AS22" s="477">
        <v>1046700</v>
      </c>
      <c r="AT22" s="471">
        <v>1369633</v>
      </c>
      <c r="AU22" s="471">
        <v>1494895</v>
      </c>
      <c r="AV22" s="453">
        <v>2643481</v>
      </c>
      <c r="AW22" s="453">
        <f t="shared" si="5"/>
        <v>45110311</v>
      </c>
      <c r="AX22" s="453">
        <f t="shared" si="6"/>
        <v>51961965</v>
      </c>
      <c r="AY22" s="454">
        <v>154771658</v>
      </c>
      <c r="AZ22" s="471">
        <v>165900666</v>
      </c>
      <c r="BA22" s="471">
        <f t="shared" si="0"/>
        <v>199881969</v>
      </c>
      <c r="BB22" s="471">
        <f t="shared" si="1"/>
        <v>217862631</v>
      </c>
    </row>
    <row r="23" spans="1:54" ht="17.25">
      <c r="A23" s="387" t="s">
        <v>181</v>
      </c>
      <c r="B23" s="455" t="s">
        <v>182</v>
      </c>
      <c r="C23" s="843">
        <v>9042855</v>
      </c>
      <c r="D23" s="856">
        <v>7699347</v>
      </c>
      <c r="E23" s="758">
        <v>2809068</v>
      </c>
      <c r="F23" s="453">
        <v>1699199</v>
      </c>
      <c r="G23" s="453">
        <v>800315</v>
      </c>
      <c r="H23" s="461">
        <v>199991</v>
      </c>
      <c r="I23" s="453">
        <v>3484152</v>
      </c>
      <c r="J23" s="453">
        <v>5019667</v>
      </c>
      <c r="K23" s="453">
        <v>6057648</v>
      </c>
      <c r="L23" s="453">
        <v>4000903</v>
      </c>
      <c r="M23" s="453"/>
      <c r="N23" s="464">
        <v>3124326</v>
      </c>
      <c r="O23" s="464"/>
      <c r="P23" s="453">
        <v>4115200</v>
      </c>
      <c r="Q23" s="453">
        <v>2363462</v>
      </c>
      <c r="R23" s="467">
        <v>2886259</v>
      </c>
      <c r="S23" s="467">
        <v>6563337</v>
      </c>
      <c r="T23" s="453">
        <v>5677272</v>
      </c>
      <c r="U23" s="453">
        <v>2837518</v>
      </c>
      <c r="V23" s="453">
        <v>3646846</v>
      </c>
      <c r="W23" s="453">
        <v>18718307</v>
      </c>
      <c r="X23" s="453">
        <v>23852810</v>
      </c>
      <c r="Y23" s="453">
        <v>18883489</v>
      </c>
      <c r="Z23" s="453">
        <v>23571961</v>
      </c>
      <c r="AA23" s="453">
        <v>2259497</v>
      </c>
      <c r="AB23" s="470">
        <v>2501490</v>
      </c>
      <c r="AC23" s="470">
        <v>1907494</v>
      </c>
      <c r="AD23" s="453">
        <v>2295683</v>
      </c>
      <c r="AE23" s="453">
        <v>7941274</v>
      </c>
      <c r="AF23" s="453">
        <v>9281806</v>
      </c>
      <c r="AG23" s="453">
        <v>12498759</v>
      </c>
      <c r="AH23" s="453">
        <v>15912061</v>
      </c>
      <c r="AI23" s="453">
        <v>7493299</v>
      </c>
      <c r="AJ23" s="453">
        <v>7466339</v>
      </c>
      <c r="AK23" s="453">
        <v>13863612</v>
      </c>
      <c r="AL23" s="453">
        <v>7798369</v>
      </c>
      <c r="AM23" s="453">
        <v>375947</v>
      </c>
      <c r="AN23" s="473">
        <v>254440</v>
      </c>
      <c r="AO23" s="473">
        <v>14581291</v>
      </c>
      <c r="AP23" s="474">
        <v>16464886</v>
      </c>
      <c r="AQ23" s="474">
        <v>4561669</v>
      </c>
      <c r="AR23" s="477">
        <v>3970511</v>
      </c>
      <c r="AS23" s="477">
        <v>2594489</v>
      </c>
      <c r="AT23" s="471">
        <v>2671017</v>
      </c>
      <c r="AU23" s="471">
        <v>4802803</v>
      </c>
      <c r="AV23" s="453">
        <v>7354269</v>
      </c>
      <c r="AW23" s="453">
        <f t="shared" si="5"/>
        <v>144440285</v>
      </c>
      <c r="AX23" s="453">
        <f t="shared" si="6"/>
        <v>161464652</v>
      </c>
      <c r="AY23" s="454">
        <v>226927657</v>
      </c>
      <c r="AZ23" s="471">
        <v>289446565</v>
      </c>
      <c r="BA23" s="471">
        <f t="shared" si="0"/>
        <v>371367942</v>
      </c>
      <c r="BB23" s="471">
        <f t="shared" si="1"/>
        <v>450911217</v>
      </c>
    </row>
    <row r="24" spans="1:54" ht="17.25">
      <c r="A24" s="387" t="s">
        <v>234</v>
      </c>
      <c r="B24" s="455"/>
      <c r="C24" s="455"/>
      <c r="D24" s="856"/>
      <c r="E24" s="758"/>
      <c r="F24" s="453"/>
      <c r="G24" s="453"/>
      <c r="H24" s="461"/>
      <c r="I24" s="453"/>
      <c r="J24" s="453"/>
      <c r="K24" s="453"/>
      <c r="L24" s="453"/>
      <c r="M24" s="453"/>
      <c r="N24" s="464"/>
      <c r="O24" s="464"/>
      <c r="P24" s="453">
        <v>-1056312</v>
      </c>
      <c r="Q24" s="453"/>
      <c r="R24" s="467"/>
      <c r="S24" s="467"/>
      <c r="T24" s="453"/>
      <c r="U24" s="453"/>
      <c r="V24" s="453"/>
      <c r="W24" s="453"/>
      <c r="X24" s="453"/>
      <c r="Y24" s="453"/>
      <c r="Z24" s="453"/>
      <c r="AA24" s="453"/>
      <c r="AB24" s="470"/>
      <c r="AC24" s="470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73"/>
      <c r="AO24" s="473"/>
      <c r="AP24" s="474"/>
      <c r="AQ24" s="474"/>
      <c r="AR24" s="477"/>
      <c r="AS24" s="477"/>
      <c r="AT24" s="471"/>
      <c r="AU24" s="471"/>
      <c r="AV24" s="453"/>
      <c r="AW24" s="453">
        <f t="shared" si="5"/>
        <v>0</v>
      </c>
      <c r="AX24" s="453">
        <f t="shared" si="6"/>
        <v>-1056312</v>
      </c>
      <c r="AY24" s="454">
        <v>-9357</v>
      </c>
      <c r="AZ24" s="471">
        <v>73986</v>
      </c>
      <c r="BA24" s="471">
        <f t="shared" si="0"/>
        <v>-9357</v>
      </c>
      <c r="BB24" s="471">
        <f t="shared" si="1"/>
        <v>-982326</v>
      </c>
    </row>
    <row r="25" spans="1:54" ht="17.25">
      <c r="A25" s="387" t="s">
        <v>183</v>
      </c>
      <c r="B25" s="459"/>
      <c r="C25" s="788"/>
      <c r="D25" s="856"/>
      <c r="E25" s="758">
        <v>7693</v>
      </c>
      <c r="F25" s="453">
        <v>8962</v>
      </c>
      <c r="G25" s="453">
        <v>23923</v>
      </c>
      <c r="H25" s="461">
        <v>-1442</v>
      </c>
      <c r="I25" s="453">
        <v>8183</v>
      </c>
      <c r="J25" s="453">
        <v>-1640</v>
      </c>
      <c r="K25" s="453">
        <v>18082</v>
      </c>
      <c r="L25" s="453">
        <v>2473</v>
      </c>
      <c r="M25" s="453"/>
      <c r="N25" s="464">
        <v>1713</v>
      </c>
      <c r="O25" s="464"/>
      <c r="P25" s="453"/>
      <c r="Q25" s="453">
        <v>1882</v>
      </c>
      <c r="R25" s="467">
        <v>1119</v>
      </c>
      <c r="S25" s="467"/>
      <c r="T25" s="453"/>
      <c r="U25" s="453"/>
      <c r="V25" s="453">
        <v>12349</v>
      </c>
      <c r="W25" s="453"/>
      <c r="X25" s="453"/>
      <c r="Y25" s="453">
        <v>7379</v>
      </c>
      <c r="Z25" s="453">
        <v>-55405</v>
      </c>
      <c r="AA25" s="453">
        <v>-4242</v>
      </c>
      <c r="AB25" s="470">
        <v>2873</v>
      </c>
      <c r="AC25" s="470"/>
      <c r="AD25" s="453"/>
      <c r="AE25" s="453"/>
      <c r="AF25" s="453"/>
      <c r="AG25" s="453">
        <v>23657</v>
      </c>
      <c r="AH25" s="453">
        <v>-443</v>
      </c>
      <c r="AI25" s="453"/>
      <c r="AJ25" s="453"/>
      <c r="AK25" s="453"/>
      <c r="AL25" s="453"/>
      <c r="AM25" s="453"/>
      <c r="AN25" s="473"/>
      <c r="AO25" s="473">
        <v>835</v>
      </c>
      <c r="AP25" s="474">
        <v>595</v>
      </c>
      <c r="AQ25" s="474">
        <v>39396</v>
      </c>
      <c r="AR25" s="477">
        <v>36465</v>
      </c>
      <c r="AS25" s="477">
        <v>1302</v>
      </c>
      <c r="AT25" s="471">
        <v>25</v>
      </c>
      <c r="AU25" s="471">
        <v>-46020</v>
      </c>
      <c r="AV25" s="453">
        <v>-18926</v>
      </c>
      <c r="AW25" s="453">
        <f t="shared" si="5"/>
        <v>82070</v>
      </c>
      <c r="AX25" s="453">
        <f t="shared" si="6"/>
        <v>-11282</v>
      </c>
      <c r="AY25" s="454">
        <v>-12825538</v>
      </c>
      <c r="AZ25" s="471">
        <v>28250849</v>
      </c>
      <c r="BA25" s="471">
        <f t="shared" si="0"/>
        <v>-12743468</v>
      </c>
      <c r="BB25" s="471">
        <f t="shared" si="1"/>
        <v>28239567</v>
      </c>
    </row>
    <row r="26" spans="1:54" ht="17.25">
      <c r="A26" s="387" t="s">
        <v>184</v>
      </c>
      <c r="B26" s="459"/>
      <c r="C26" s="788"/>
      <c r="D26" s="857"/>
      <c r="E26" s="759"/>
      <c r="F26" s="454"/>
      <c r="G26" s="454"/>
      <c r="H26" s="462"/>
      <c r="I26" s="454"/>
      <c r="J26" s="454">
        <v>936</v>
      </c>
      <c r="K26" s="454">
        <v>1636</v>
      </c>
      <c r="L26" s="454">
        <v>5505</v>
      </c>
      <c r="M26" s="454"/>
      <c r="N26" s="465"/>
      <c r="O26" s="465"/>
      <c r="P26" s="454"/>
      <c r="Q26" s="454"/>
      <c r="R26" s="468"/>
      <c r="S26" s="468"/>
      <c r="T26" s="454"/>
      <c r="U26" s="454"/>
      <c r="V26" s="454">
        <v>12151</v>
      </c>
      <c r="W26" s="454"/>
      <c r="X26" s="454"/>
      <c r="Y26" s="454">
        <v>44212</v>
      </c>
      <c r="Z26" s="454">
        <v>116084</v>
      </c>
      <c r="AA26" s="454"/>
      <c r="AB26" s="470">
        <v>3517</v>
      </c>
      <c r="AC26" s="470"/>
      <c r="AD26" s="454"/>
      <c r="AE26" s="454"/>
      <c r="AF26" s="472"/>
      <c r="AG26" s="472">
        <v>16364</v>
      </c>
      <c r="AH26" s="454">
        <v>4922</v>
      </c>
      <c r="AI26" s="454"/>
      <c r="AJ26" s="454"/>
      <c r="AK26" s="454"/>
      <c r="AL26" s="454"/>
      <c r="AM26" s="454"/>
      <c r="AN26" s="473"/>
      <c r="AO26" s="473">
        <v>4719</v>
      </c>
      <c r="AP26" s="476">
        <v>3150</v>
      </c>
      <c r="AQ26" s="476"/>
      <c r="AR26" s="477"/>
      <c r="AS26" s="477">
        <v>1753</v>
      </c>
      <c r="AT26" s="471">
        <v>535</v>
      </c>
      <c r="AU26" s="471">
        <v>53372</v>
      </c>
      <c r="AV26" s="454">
        <v>53654</v>
      </c>
      <c r="AW26" s="453">
        <f t="shared" si="5"/>
        <v>122056</v>
      </c>
      <c r="AX26" s="453">
        <f t="shared" si="6"/>
        <v>200454</v>
      </c>
      <c r="AY26" s="454"/>
      <c r="AZ26" s="454"/>
      <c r="BA26" s="471">
        <f t="shared" si="0"/>
        <v>122056</v>
      </c>
      <c r="BB26" s="471">
        <f t="shared" si="1"/>
        <v>200454</v>
      </c>
    </row>
    <row r="27" spans="1:54" ht="17.25">
      <c r="A27" s="387" t="s">
        <v>185</v>
      </c>
      <c r="B27" s="459"/>
      <c r="C27" s="788"/>
      <c r="D27" s="856"/>
      <c r="E27" s="758"/>
      <c r="F27" s="453"/>
      <c r="G27" s="453"/>
      <c r="H27" s="461"/>
      <c r="I27" s="453"/>
      <c r="J27" s="453"/>
      <c r="K27" s="453"/>
      <c r="L27" s="453"/>
      <c r="M27" s="453"/>
      <c r="N27" s="464"/>
      <c r="O27" s="464"/>
      <c r="P27" s="453"/>
      <c r="Q27" s="453"/>
      <c r="R27" s="467"/>
      <c r="S27" s="467"/>
      <c r="T27" s="453"/>
      <c r="U27" s="453"/>
      <c r="V27" s="453"/>
      <c r="W27" s="453">
        <v>1745312</v>
      </c>
      <c r="X27" s="453">
        <v>1519776</v>
      </c>
      <c r="Y27" s="453"/>
      <c r="Z27" s="453"/>
      <c r="AA27" s="453"/>
      <c r="AB27" s="470"/>
      <c r="AC27" s="470"/>
      <c r="AD27" s="453"/>
      <c r="AE27" s="453">
        <v>158761</v>
      </c>
      <c r="AF27" s="453">
        <v>220782</v>
      </c>
      <c r="AG27" s="453"/>
      <c r="AH27" s="453"/>
      <c r="AI27" s="453"/>
      <c r="AJ27" s="453"/>
      <c r="AK27" s="453"/>
      <c r="AL27" s="453"/>
      <c r="AM27" s="453">
        <v>32398</v>
      </c>
      <c r="AN27" s="473">
        <v>18291</v>
      </c>
      <c r="AO27" s="473"/>
      <c r="AP27" s="443"/>
      <c r="AQ27" s="443">
        <v>77488</v>
      </c>
      <c r="AR27" s="477">
        <v>133896</v>
      </c>
      <c r="AS27" s="477"/>
      <c r="AT27" s="471"/>
      <c r="AU27" s="471">
        <v>463928</v>
      </c>
      <c r="AV27" s="453">
        <v>397816</v>
      </c>
      <c r="AW27" s="453">
        <f t="shared" si="5"/>
        <v>2477887</v>
      </c>
      <c r="AX27" s="453">
        <f t="shared" si="6"/>
        <v>2290561</v>
      </c>
      <c r="AY27" s="454">
        <v>47527470</v>
      </c>
      <c r="AZ27" s="471">
        <v>63249681</v>
      </c>
      <c r="BA27" s="471">
        <f t="shared" si="0"/>
        <v>50005357</v>
      </c>
      <c r="BB27" s="471">
        <f t="shared" si="1"/>
        <v>65540242</v>
      </c>
    </row>
    <row r="28" spans="1:54" ht="17.25">
      <c r="A28" s="387" t="s">
        <v>186</v>
      </c>
      <c r="B28" s="459"/>
      <c r="C28" s="788"/>
      <c r="D28" s="856"/>
      <c r="E28" s="758"/>
      <c r="F28" s="453"/>
      <c r="G28" s="453"/>
      <c r="H28" s="461"/>
      <c r="I28" s="453"/>
      <c r="J28" s="453"/>
      <c r="K28" s="453"/>
      <c r="L28" s="453"/>
      <c r="M28" s="453"/>
      <c r="N28" s="464"/>
      <c r="O28" s="464"/>
      <c r="P28" s="453"/>
      <c r="Q28" s="453"/>
      <c r="R28" s="467"/>
      <c r="S28" s="467"/>
      <c r="T28" s="453"/>
      <c r="U28" s="453"/>
      <c r="V28" s="453"/>
      <c r="W28" s="453"/>
      <c r="X28" s="453"/>
      <c r="Y28" s="453"/>
      <c r="Z28" s="453"/>
      <c r="AA28" s="453"/>
      <c r="AB28" s="470"/>
      <c r="AC28" s="470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73"/>
      <c r="AO28" s="473">
        <v>1532814</v>
      </c>
      <c r="AP28" s="474">
        <v>1798340</v>
      </c>
      <c r="AQ28" s="474"/>
      <c r="AR28" s="477"/>
      <c r="AS28" s="477"/>
      <c r="AT28" s="471"/>
      <c r="AU28" s="471"/>
      <c r="AV28" s="453"/>
      <c r="AW28" s="453">
        <f t="shared" si="5"/>
        <v>1532814</v>
      </c>
      <c r="AX28" s="453">
        <f t="shared" si="6"/>
        <v>1798340</v>
      </c>
      <c r="AY28" s="454"/>
      <c r="AZ28" s="471"/>
      <c r="BA28" s="471">
        <f t="shared" si="0"/>
        <v>1532814</v>
      </c>
      <c r="BB28" s="471">
        <f t="shared" si="1"/>
        <v>1798340</v>
      </c>
    </row>
    <row r="29" spans="1:54" ht="17.25">
      <c r="A29" s="387" t="s">
        <v>187</v>
      </c>
      <c r="B29" s="459"/>
      <c r="C29" s="788"/>
      <c r="D29" s="856"/>
      <c r="E29" s="758"/>
      <c r="F29" s="453"/>
      <c r="G29" s="453"/>
      <c r="H29" s="461"/>
      <c r="I29" s="453"/>
      <c r="J29" s="453"/>
      <c r="K29" s="453"/>
      <c r="L29" s="453"/>
      <c r="M29" s="453"/>
      <c r="N29" s="464"/>
      <c r="O29" s="464"/>
      <c r="P29" s="453"/>
      <c r="Q29" s="453"/>
      <c r="R29" s="467"/>
      <c r="S29" s="467"/>
      <c r="T29" s="453"/>
      <c r="U29" s="453"/>
      <c r="V29" s="453"/>
      <c r="W29" s="453"/>
      <c r="X29" s="453"/>
      <c r="Y29" s="453"/>
      <c r="Z29" s="453"/>
      <c r="AA29" s="453"/>
      <c r="AB29" s="470"/>
      <c r="AC29" s="470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73"/>
      <c r="AO29" s="473"/>
      <c r="AP29" s="443"/>
      <c r="AQ29" s="443"/>
      <c r="AR29" s="477"/>
      <c r="AS29" s="477"/>
      <c r="AT29" s="471"/>
      <c r="AU29" s="471"/>
      <c r="AV29" s="453"/>
      <c r="AW29" s="453">
        <f>SUM(C29+E29+G29+I29+K29+M29+O29+Q29+S29+U29+W29+Y29+AA29+AC29+AE29+AG29+AI29+AK29+AM29+AO29+AQ29+AS29+AU29)</f>
        <v>0</v>
      </c>
      <c r="AX29" s="453">
        <f>SUM(D29+F29+H29+J29+L29+N29+P29+R29+T29+V29+X29+Z29+AB29+AD29+AF29+AH29+AJ29+AL29+AN29+AP29+AR29+AT29+AV29)</f>
        <v>0</v>
      </c>
      <c r="AY29" s="454"/>
      <c r="AZ29" s="471"/>
      <c r="BA29" s="471">
        <f t="shared" si="0"/>
        <v>0</v>
      </c>
      <c r="BB29" s="471">
        <f t="shared" si="1"/>
        <v>0</v>
      </c>
    </row>
    <row r="30" spans="1:54" ht="17.25">
      <c r="A30" s="387" t="s">
        <v>188</v>
      </c>
      <c r="B30" s="459"/>
      <c r="C30" s="788"/>
      <c r="D30" s="856"/>
      <c r="E30" s="758"/>
      <c r="F30" s="453"/>
      <c r="G30" s="453"/>
      <c r="H30" s="461"/>
      <c r="I30" s="453"/>
      <c r="J30" s="453"/>
      <c r="K30" s="453"/>
      <c r="L30" s="453"/>
      <c r="M30" s="453"/>
      <c r="N30" s="464"/>
      <c r="O30" s="464"/>
      <c r="P30" s="453"/>
      <c r="Q30" s="453"/>
      <c r="R30" s="467"/>
      <c r="S30" s="467"/>
      <c r="T30" s="453"/>
      <c r="U30" s="453"/>
      <c r="V30" s="453"/>
      <c r="W30" s="453">
        <v>-20437</v>
      </c>
      <c r="X30" s="453">
        <v>122439</v>
      </c>
      <c r="Y30" s="453">
        <v>126418</v>
      </c>
      <c r="Z30" s="453">
        <v>65125</v>
      </c>
      <c r="AA30" s="453"/>
      <c r="AB30" s="470"/>
      <c r="AC30" s="470"/>
      <c r="AD30" s="453"/>
      <c r="AE30" s="453">
        <v>8654</v>
      </c>
      <c r="AF30" s="453">
        <v>-8703</v>
      </c>
      <c r="AG30" s="453"/>
      <c r="AH30" s="453"/>
      <c r="AI30" s="453"/>
      <c r="AJ30" s="453"/>
      <c r="AK30" s="453"/>
      <c r="AL30" s="453"/>
      <c r="AM30" s="453"/>
      <c r="AN30" s="473"/>
      <c r="AO30" s="473">
        <v>40962</v>
      </c>
      <c r="AP30" s="474">
        <v>-48295</v>
      </c>
      <c r="AQ30" s="474"/>
      <c r="AR30" s="477"/>
      <c r="AS30" s="477"/>
      <c r="AT30" s="471"/>
      <c r="AU30" s="471">
        <v>65476</v>
      </c>
      <c r="AV30" s="453">
        <v>-168</v>
      </c>
      <c r="AW30" s="453">
        <f>SUM(C30+E30+G30+I30+K30+M30+O30+Q30+S30+U30+W30+Y30+AA30+AC30+AE30+AG30+AI30+AK30+AM30+AO30+AQ30+AS30+AU30)</f>
        <v>221073</v>
      </c>
      <c r="AX30" s="453">
        <f>SUM(D30+F30+H30+J30+L30+N30+P30+R30+T30+V30+X30+Z30+AB30+AD30+AF30+AH30+AJ30+AL30+AN30+AP30+AR30+AT30+AV30)</f>
        <v>130398</v>
      </c>
      <c r="AY30" s="454">
        <v>3620668</v>
      </c>
      <c r="AZ30" s="471">
        <v>-1078813</v>
      </c>
      <c r="BA30" s="471">
        <f t="shared" si="0"/>
        <v>3841741</v>
      </c>
      <c r="BB30" s="471">
        <f t="shared" si="1"/>
        <v>-948415</v>
      </c>
    </row>
    <row r="31" spans="1:54" ht="17.25">
      <c r="A31" s="387" t="s">
        <v>189</v>
      </c>
      <c r="B31" s="459"/>
      <c r="C31" s="788"/>
      <c r="D31" s="857"/>
      <c r="E31" s="759"/>
      <c r="F31" s="454"/>
      <c r="G31" s="454"/>
      <c r="H31" s="462"/>
      <c r="I31" s="454"/>
      <c r="J31" s="454"/>
      <c r="K31" s="454"/>
      <c r="L31" s="454"/>
      <c r="M31" s="454"/>
      <c r="N31" s="465"/>
      <c r="O31" s="465"/>
      <c r="P31" s="454"/>
      <c r="Q31" s="454"/>
      <c r="R31" s="468"/>
      <c r="S31" s="468"/>
      <c r="T31" s="454"/>
      <c r="U31" s="454"/>
      <c r="V31" s="454"/>
      <c r="W31" s="454">
        <v>52223</v>
      </c>
      <c r="X31" s="454">
        <v>-59697</v>
      </c>
      <c r="Y31" s="454"/>
      <c r="Z31" s="454"/>
      <c r="AA31" s="454"/>
      <c r="AB31" s="470"/>
      <c r="AC31" s="470"/>
      <c r="AD31" s="454"/>
      <c r="AE31" s="454">
        <v>-830</v>
      </c>
      <c r="AF31" s="472">
        <v>139</v>
      </c>
      <c r="AG31" s="472"/>
      <c r="AH31" s="454"/>
      <c r="AI31" s="454">
        <v>9498</v>
      </c>
      <c r="AJ31" s="454">
        <v>16813</v>
      </c>
      <c r="AK31" s="454"/>
      <c r="AL31" s="454"/>
      <c r="AM31" s="454"/>
      <c r="AN31" s="473"/>
      <c r="AO31" s="473">
        <v>4750</v>
      </c>
      <c r="AP31" s="476">
        <v>2000</v>
      </c>
      <c r="AQ31" s="476"/>
      <c r="AR31" s="477"/>
      <c r="AS31" s="477"/>
      <c r="AT31" s="471"/>
      <c r="AU31" s="471"/>
      <c r="AV31" s="454"/>
      <c r="AW31" s="453">
        <f aca="true" t="shared" si="7" ref="AW31:AW37">SUM(C31+E31+G31+I31+K31+M31+O31+Q31+S31+U31+W31+Y31+AA31+AC31+AE31+AG31+AI31+AK31+AM31+AO31+AQ31+AS31+AU31)</f>
        <v>65641</v>
      </c>
      <c r="AX31" s="453">
        <f aca="true" t="shared" si="8" ref="AX31:AX37">SUM(D31+F31+H31+J31+L31+N31+P31+R31+T31+V31+X31+Z31+AB31+AD31+AF31+AH31+AJ31+AL31+AN31+AP31+AR31+AT31+AV31)</f>
        <v>-40745</v>
      </c>
      <c r="AY31" s="454">
        <v>26097890</v>
      </c>
      <c r="AZ31" s="454">
        <v>18507907</v>
      </c>
      <c r="BA31" s="471">
        <f t="shared" si="0"/>
        <v>26163531</v>
      </c>
      <c r="BB31" s="471">
        <f t="shared" si="1"/>
        <v>18467162</v>
      </c>
    </row>
    <row r="32" spans="1:54" ht="17.25">
      <c r="A32" s="387" t="s">
        <v>190</v>
      </c>
      <c r="B32" s="459"/>
      <c r="C32" s="788">
        <v>1001860</v>
      </c>
      <c r="D32" s="856">
        <v>991417</v>
      </c>
      <c r="E32" s="758">
        <v>42311</v>
      </c>
      <c r="F32" s="453">
        <v>38339</v>
      </c>
      <c r="G32" s="453">
        <v>43399</v>
      </c>
      <c r="H32" s="461">
        <v>43076</v>
      </c>
      <c r="I32" s="453"/>
      <c r="J32" s="453">
        <v>869595</v>
      </c>
      <c r="K32" s="453">
        <v>47024</v>
      </c>
      <c r="L32" s="453">
        <v>52067</v>
      </c>
      <c r="M32" s="453"/>
      <c r="N32" s="464">
        <v>418898</v>
      </c>
      <c r="O32" s="464"/>
      <c r="P32" s="453">
        <v>12288</v>
      </c>
      <c r="Q32" s="453">
        <v>4826</v>
      </c>
      <c r="R32" s="467">
        <v>10545</v>
      </c>
      <c r="S32" s="467"/>
      <c r="T32" s="453"/>
      <c r="U32" s="453">
        <v>55814</v>
      </c>
      <c r="V32" s="453">
        <v>41469</v>
      </c>
      <c r="W32" s="453">
        <v>1853865</v>
      </c>
      <c r="X32" s="453">
        <v>2160735</v>
      </c>
      <c r="Y32" s="453">
        <v>3464956</v>
      </c>
      <c r="Z32" s="453">
        <v>4162662</v>
      </c>
      <c r="AA32" s="453">
        <v>60780</v>
      </c>
      <c r="AB32" s="471">
        <v>71107</v>
      </c>
      <c r="AC32" s="471">
        <v>154612</v>
      </c>
      <c r="AD32" s="453">
        <v>161287</v>
      </c>
      <c r="AE32" s="453">
        <v>327250</v>
      </c>
      <c r="AF32" s="453">
        <v>380629</v>
      </c>
      <c r="AG32" s="453">
        <v>722855</v>
      </c>
      <c r="AH32" s="453">
        <v>798724</v>
      </c>
      <c r="AI32" s="453">
        <v>355679</v>
      </c>
      <c r="AJ32" s="453">
        <v>358458</v>
      </c>
      <c r="AK32" s="453">
        <f>-800+386118</f>
        <v>385318</v>
      </c>
      <c r="AL32" s="453">
        <f>-200+343878</f>
        <v>343678</v>
      </c>
      <c r="AM32" s="453"/>
      <c r="AN32" s="473">
        <v>5218</v>
      </c>
      <c r="AO32" s="473">
        <v>1702021</v>
      </c>
      <c r="AP32" s="474">
        <v>2265768</v>
      </c>
      <c r="AQ32" s="474"/>
      <c r="AR32" s="477"/>
      <c r="AS32" s="477">
        <v>95871</v>
      </c>
      <c r="AT32" s="471">
        <v>85396</v>
      </c>
      <c r="AU32" s="471"/>
      <c r="AV32" s="453"/>
      <c r="AW32" s="453">
        <f t="shared" si="7"/>
        <v>10318441</v>
      </c>
      <c r="AX32" s="453">
        <f t="shared" si="8"/>
        <v>13271356</v>
      </c>
      <c r="AY32" s="454">
        <v>2030000</v>
      </c>
      <c r="AZ32" s="453">
        <v>1896945</v>
      </c>
      <c r="BA32" s="471">
        <f t="shared" si="0"/>
        <v>12348441</v>
      </c>
      <c r="BB32" s="471">
        <f t="shared" si="1"/>
        <v>15168301</v>
      </c>
    </row>
    <row r="33" spans="1:54" s="873" customFormat="1" ht="18">
      <c r="A33" s="874" t="s">
        <v>191</v>
      </c>
      <c r="B33" s="875"/>
      <c r="C33" s="876">
        <v>12225324</v>
      </c>
      <c r="D33" s="877">
        <v>11241363</v>
      </c>
      <c r="E33" s="878">
        <v>3048874</v>
      </c>
      <c r="F33" s="879">
        <v>1804053</v>
      </c>
      <c r="G33" s="879">
        <v>970221</v>
      </c>
      <c r="H33" s="880">
        <v>401109</v>
      </c>
      <c r="I33" s="879">
        <v>4549347</v>
      </c>
      <c r="J33" s="879">
        <v>6122865</v>
      </c>
      <c r="K33" s="879">
        <v>6956870</v>
      </c>
      <c r="L33" s="879">
        <v>5063757</v>
      </c>
      <c r="M33" s="879"/>
      <c r="N33" s="881">
        <v>4232136</v>
      </c>
      <c r="O33" s="881"/>
      <c r="P33" s="879">
        <v>3331174</v>
      </c>
      <c r="Q33" s="879">
        <v>2635596</v>
      </c>
      <c r="R33" s="887">
        <v>3186789</v>
      </c>
      <c r="S33" s="887">
        <v>7933953</v>
      </c>
      <c r="T33" s="879">
        <v>7313452</v>
      </c>
      <c r="U33" s="879">
        <v>3157113</v>
      </c>
      <c r="V33" s="879">
        <v>4055146</v>
      </c>
      <c r="W33" s="879">
        <v>29367906</v>
      </c>
      <c r="X33" s="879">
        <v>35516312</v>
      </c>
      <c r="Y33" s="879">
        <v>28726222</v>
      </c>
      <c r="Z33" s="879">
        <v>35449587</v>
      </c>
      <c r="AA33" s="879">
        <v>3014597</v>
      </c>
      <c r="AB33" s="883">
        <v>3582849</v>
      </c>
      <c r="AC33" s="883">
        <v>2460247</v>
      </c>
      <c r="AD33" s="879">
        <v>3147631</v>
      </c>
      <c r="AE33" s="879">
        <v>11016257</v>
      </c>
      <c r="AF33" s="879">
        <v>13122797</v>
      </c>
      <c r="AG33" s="879">
        <v>21468761</v>
      </c>
      <c r="AH33" s="879">
        <v>26079540</v>
      </c>
      <c r="AI33" s="879">
        <v>9544065</v>
      </c>
      <c r="AJ33" s="879">
        <v>9669781</v>
      </c>
      <c r="AK33" s="879">
        <v>16707709</v>
      </c>
      <c r="AL33" s="879">
        <v>10096151</v>
      </c>
      <c r="AM33" s="879">
        <v>488944</v>
      </c>
      <c r="AN33" s="884">
        <v>356214</v>
      </c>
      <c r="AO33" s="884">
        <v>25009967</v>
      </c>
      <c r="AP33" s="885">
        <v>28319869</v>
      </c>
      <c r="AQ33" s="885">
        <v>5283392</v>
      </c>
      <c r="AR33" s="886">
        <v>4843146</v>
      </c>
      <c r="AS33" s="886">
        <v>3740115</v>
      </c>
      <c r="AT33" s="883">
        <v>4126605</v>
      </c>
      <c r="AU33" s="883">
        <v>7133835</v>
      </c>
      <c r="AV33" s="879">
        <v>10704073</v>
      </c>
      <c r="AW33" s="879">
        <f t="shared" si="7"/>
        <v>205439315</v>
      </c>
      <c r="AX33" s="879">
        <f t="shared" si="8"/>
        <v>231766399</v>
      </c>
      <c r="AY33" s="879">
        <v>448140448</v>
      </c>
      <c r="AZ33" s="879">
        <v>566247786</v>
      </c>
      <c r="BA33" s="883">
        <f t="shared" si="0"/>
        <v>653579763</v>
      </c>
      <c r="BB33" s="883">
        <f t="shared" si="1"/>
        <v>798014185</v>
      </c>
    </row>
    <row r="34" spans="1:54" ht="17.25">
      <c r="A34" s="387" t="s">
        <v>192</v>
      </c>
      <c r="B34" s="455" t="s">
        <v>193</v>
      </c>
      <c r="C34" s="843">
        <v>42470943</v>
      </c>
      <c r="D34" s="856">
        <v>46523392</v>
      </c>
      <c r="E34" s="758">
        <v>3153597</v>
      </c>
      <c r="F34" s="453"/>
      <c r="G34" s="453">
        <v>5032856</v>
      </c>
      <c r="H34" s="461">
        <v>5378633</v>
      </c>
      <c r="I34" s="453">
        <v>24901293</v>
      </c>
      <c r="J34" s="453">
        <v>34664286</v>
      </c>
      <c r="K34" s="453">
        <v>6253506</v>
      </c>
      <c r="L34" s="453">
        <v>5681274</v>
      </c>
      <c r="M34" s="453"/>
      <c r="N34" s="464">
        <v>17833276</v>
      </c>
      <c r="O34" s="464"/>
      <c r="P34" s="453">
        <v>1936940</v>
      </c>
      <c r="Q34" s="453">
        <v>183507</v>
      </c>
      <c r="R34" s="467">
        <v>429421</v>
      </c>
      <c r="S34" s="467">
        <v>110383610</v>
      </c>
      <c r="T34" s="453">
        <v>10414022</v>
      </c>
      <c r="U34" s="453">
        <v>4247490</v>
      </c>
      <c r="V34" s="453">
        <v>4024985</v>
      </c>
      <c r="W34" s="453">
        <v>81769061</v>
      </c>
      <c r="X34" s="453">
        <v>98421708</v>
      </c>
      <c r="Y34" s="453">
        <v>124086821</v>
      </c>
      <c r="Z34" s="453">
        <v>149644086</v>
      </c>
      <c r="AA34" s="453">
        <v>4560031</v>
      </c>
      <c r="AB34" s="471">
        <v>6058725</v>
      </c>
      <c r="AC34" s="471">
        <v>13421159</v>
      </c>
      <c r="AD34" s="453">
        <v>11408964</v>
      </c>
      <c r="AE34" s="453">
        <v>18240332</v>
      </c>
      <c r="AF34" s="453">
        <v>22871681</v>
      </c>
      <c r="AG34" s="453">
        <v>31460583</v>
      </c>
      <c r="AH34" s="453">
        <v>37768113</v>
      </c>
      <c r="AI34" s="453">
        <v>14307354</v>
      </c>
      <c r="AJ34" s="453">
        <v>17690827</v>
      </c>
      <c r="AK34" s="453">
        <v>42446786</v>
      </c>
      <c r="AL34" s="453">
        <v>31271104</v>
      </c>
      <c r="AM34" s="453">
        <v>1330705</v>
      </c>
      <c r="AN34" s="473">
        <v>1294366</v>
      </c>
      <c r="AO34" s="473">
        <v>79595506</v>
      </c>
      <c r="AP34" s="474">
        <v>95261421</v>
      </c>
      <c r="AQ34" s="474">
        <v>3804222</v>
      </c>
      <c r="AR34" s="477">
        <v>5671934</v>
      </c>
      <c r="AS34" s="477">
        <v>8599180</v>
      </c>
      <c r="AT34" s="471">
        <v>11292874</v>
      </c>
      <c r="AU34" s="471">
        <v>28919524</v>
      </c>
      <c r="AV34" s="453">
        <v>25123810</v>
      </c>
      <c r="AW34" s="453">
        <f t="shared" si="7"/>
        <v>649168066</v>
      </c>
      <c r="AX34" s="453">
        <f t="shared" si="8"/>
        <v>640665842</v>
      </c>
      <c r="AY34" s="454">
        <v>1428069460</v>
      </c>
      <c r="AZ34" s="453">
        <v>1666947795</v>
      </c>
      <c r="BA34" s="471">
        <f t="shared" si="0"/>
        <v>2077237526</v>
      </c>
      <c r="BB34" s="471">
        <f t="shared" si="1"/>
        <v>2307613637</v>
      </c>
    </row>
    <row r="35" spans="1:54" ht="17.25">
      <c r="A35" s="387" t="s">
        <v>194</v>
      </c>
      <c r="B35" s="459"/>
      <c r="C35" s="788">
        <v>8570</v>
      </c>
      <c r="D35" s="856">
        <v>13448</v>
      </c>
      <c r="E35" s="758">
        <v>2408</v>
      </c>
      <c r="F35" s="453"/>
      <c r="G35" s="453">
        <v>1262</v>
      </c>
      <c r="H35" s="461">
        <v>3919</v>
      </c>
      <c r="I35" s="453"/>
      <c r="J35" s="453"/>
      <c r="K35" s="453"/>
      <c r="L35" s="453"/>
      <c r="M35" s="453"/>
      <c r="N35" s="464">
        <v>4925</v>
      </c>
      <c r="O35" s="464"/>
      <c r="P35" s="453">
        <v>91</v>
      </c>
      <c r="Q35" s="453">
        <v>124</v>
      </c>
      <c r="R35" s="467">
        <v>170</v>
      </c>
      <c r="S35" s="467">
        <v>3208</v>
      </c>
      <c r="T35" s="453">
        <v>4115</v>
      </c>
      <c r="U35" s="453">
        <v>1263</v>
      </c>
      <c r="V35" s="453">
        <v>1157</v>
      </c>
      <c r="W35" s="453">
        <f>78084+572636</f>
        <v>650720</v>
      </c>
      <c r="X35" s="453">
        <f>152348+1429825</f>
        <v>1582173</v>
      </c>
      <c r="Y35" s="453">
        <v>187411</v>
      </c>
      <c r="Z35" s="453">
        <v>334664</v>
      </c>
      <c r="AA35" s="453"/>
      <c r="AB35" s="471">
        <v>17</v>
      </c>
      <c r="AC35" s="471"/>
      <c r="AD35" s="453"/>
      <c r="AE35" s="453">
        <v>119022</v>
      </c>
      <c r="AF35" s="453">
        <v>208408</v>
      </c>
      <c r="AG35" s="453">
        <v>3697</v>
      </c>
      <c r="AH35" s="453">
        <v>6920</v>
      </c>
      <c r="AI35" s="453">
        <v>9498</v>
      </c>
      <c r="AJ35" s="453">
        <v>16813</v>
      </c>
      <c r="AK35" s="453">
        <v>9496</v>
      </c>
      <c r="AL35" s="453">
        <v>7334</v>
      </c>
      <c r="AM35" s="453"/>
      <c r="AN35" s="473"/>
      <c r="AO35" s="473">
        <v>73725</v>
      </c>
      <c r="AP35" s="474">
        <v>240566</v>
      </c>
      <c r="AQ35" s="474">
        <v>11812</v>
      </c>
      <c r="AR35" s="477">
        <v>16411</v>
      </c>
      <c r="AS35" s="477">
        <v>826</v>
      </c>
      <c r="AT35" s="471">
        <v>1157</v>
      </c>
      <c r="AU35" s="471"/>
      <c r="AV35" s="453"/>
      <c r="AW35" s="453">
        <f t="shared" si="7"/>
        <v>1083042</v>
      </c>
      <c r="AX35" s="453">
        <f t="shared" si="8"/>
        <v>2442288</v>
      </c>
      <c r="AY35" s="454">
        <v>8503046</v>
      </c>
      <c r="AZ35" s="453">
        <v>9294951</v>
      </c>
      <c r="BA35" s="471">
        <f t="shared" si="0"/>
        <v>9586088</v>
      </c>
      <c r="BB35" s="471">
        <f t="shared" si="1"/>
        <v>11737239</v>
      </c>
    </row>
    <row r="36" spans="1:54" ht="17.25">
      <c r="A36" s="387" t="s">
        <v>195</v>
      </c>
      <c r="B36" s="459"/>
      <c r="C36" s="788"/>
      <c r="D36" s="857"/>
      <c r="E36" s="759"/>
      <c r="F36" s="454"/>
      <c r="G36" s="454"/>
      <c r="H36" s="462"/>
      <c r="I36" s="454"/>
      <c r="J36" s="454"/>
      <c r="K36" s="454"/>
      <c r="L36" s="454"/>
      <c r="M36" s="454"/>
      <c r="N36" s="465"/>
      <c r="O36" s="465"/>
      <c r="P36" s="454"/>
      <c r="Q36" s="454"/>
      <c r="R36" s="468"/>
      <c r="S36" s="468"/>
      <c r="T36" s="454"/>
      <c r="U36" s="454"/>
      <c r="V36" s="454"/>
      <c r="W36" s="454"/>
      <c r="X36" s="454"/>
      <c r="Y36" s="454"/>
      <c r="Z36" s="454"/>
      <c r="AA36" s="454"/>
      <c r="AB36" s="470"/>
      <c r="AC36" s="470"/>
      <c r="AD36" s="454"/>
      <c r="AE36" s="454"/>
      <c r="AF36" s="472"/>
      <c r="AG36" s="472"/>
      <c r="AH36" s="454"/>
      <c r="AI36" s="454"/>
      <c r="AJ36" s="454"/>
      <c r="AK36" s="454"/>
      <c r="AL36" s="454"/>
      <c r="AM36" s="454"/>
      <c r="AN36" s="473"/>
      <c r="AO36" s="473"/>
      <c r="AP36" s="443"/>
      <c r="AQ36" s="443"/>
      <c r="AR36" s="477"/>
      <c r="AS36" s="477"/>
      <c r="AT36" s="471"/>
      <c r="AU36" s="471"/>
      <c r="AV36" s="454"/>
      <c r="AW36" s="453">
        <f t="shared" si="7"/>
        <v>0</v>
      </c>
      <c r="AX36" s="453">
        <f t="shared" si="8"/>
        <v>0</v>
      </c>
      <c r="AY36" s="454"/>
      <c r="AZ36" s="454"/>
      <c r="BA36" s="471">
        <f t="shared" si="0"/>
        <v>0</v>
      </c>
      <c r="BB36" s="471">
        <f t="shared" si="1"/>
        <v>0</v>
      </c>
    </row>
    <row r="37" spans="1:54" ht="17.25">
      <c r="A37" s="387" t="s">
        <v>196</v>
      </c>
      <c r="B37" s="459"/>
      <c r="C37" s="788">
        <v>18063483</v>
      </c>
      <c r="D37" s="856">
        <v>25723275</v>
      </c>
      <c r="E37" s="758">
        <f>1820183-1408050</f>
        <v>412133</v>
      </c>
      <c r="F37" s="453">
        <f>2184007-117194</f>
        <v>2066813</v>
      </c>
      <c r="G37" s="453">
        <v>1147163</v>
      </c>
      <c r="H37" s="461">
        <v>3764624</v>
      </c>
      <c r="I37" s="453">
        <v>-69757</v>
      </c>
      <c r="J37" s="453">
        <v>-470704</v>
      </c>
      <c r="K37" s="453">
        <v>858923</v>
      </c>
      <c r="L37" s="453">
        <v>6613977</v>
      </c>
      <c r="M37" s="453"/>
      <c r="N37" s="464">
        <v>15143973</v>
      </c>
      <c r="O37" s="464"/>
      <c r="P37" s="453">
        <v>6060034</v>
      </c>
      <c r="Q37" s="453">
        <v>3008397</v>
      </c>
      <c r="R37" s="467">
        <v>4673398</v>
      </c>
      <c r="S37" s="467">
        <f>6639997+9802601-3162603</f>
        <v>13279995</v>
      </c>
      <c r="T37" s="453">
        <f>14947967+1123544+4598095</f>
        <v>20669606</v>
      </c>
      <c r="U37" s="453">
        <f>-1865182+2288686</f>
        <v>423504</v>
      </c>
      <c r="V37" s="453">
        <f>-391783+2740583</f>
        <v>2348800</v>
      </c>
      <c r="W37" s="453">
        <v>48638158</v>
      </c>
      <c r="X37" s="453">
        <v>80311953</v>
      </c>
      <c r="Y37" s="453">
        <v>37023792</v>
      </c>
      <c r="Z37" s="454">
        <v>72593720</v>
      </c>
      <c r="AA37" s="453">
        <v>6154317</v>
      </c>
      <c r="AB37" s="470">
        <v>11333164</v>
      </c>
      <c r="AC37" s="470">
        <v>11279130</v>
      </c>
      <c r="AD37" s="453">
        <v>15563810</v>
      </c>
      <c r="AE37" s="453">
        <v>13959426</v>
      </c>
      <c r="AF37" s="453">
        <v>17223853</v>
      </c>
      <c r="AG37" s="453">
        <v>45293810</v>
      </c>
      <c r="AH37" s="453">
        <v>77188848</v>
      </c>
      <c r="AI37" s="453">
        <f>-6204554+12209356</f>
        <v>6004802</v>
      </c>
      <c r="AJ37" s="453">
        <f>993339+19260063</f>
        <v>20253402</v>
      </c>
      <c r="AK37" s="453">
        <f>-12886353+6389505</f>
        <v>-6496848</v>
      </c>
      <c r="AL37" s="453">
        <f>-338845+17697788</f>
        <v>17358943</v>
      </c>
      <c r="AM37" s="453">
        <v>854515</v>
      </c>
      <c r="AN37" s="473">
        <v>1075092</v>
      </c>
      <c r="AO37" s="473">
        <v>67585198</v>
      </c>
      <c r="AP37" s="474">
        <v>85917391</v>
      </c>
      <c r="AQ37" s="474">
        <v>1964583</v>
      </c>
      <c r="AR37" s="477">
        <v>4093311</v>
      </c>
      <c r="AS37" s="477">
        <v>5912637</v>
      </c>
      <c r="AT37" s="471">
        <v>7450534</v>
      </c>
      <c r="AU37" s="471">
        <f>14275210-20334531</f>
        <v>-6059321</v>
      </c>
      <c r="AV37" s="453">
        <f>18667550+4273312</f>
        <v>22940862</v>
      </c>
      <c r="AW37" s="453">
        <f t="shared" si="7"/>
        <v>269238040</v>
      </c>
      <c r="AX37" s="453">
        <f t="shared" si="8"/>
        <v>519898679</v>
      </c>
      <c r="AY37" s="454">
        <v>2445431807</v>
      </c>
      <c r="AZ37" s="453">
        <v>2646474472</v>
      </c>
      <c r="BA37" s="471">
        <f t="shared" si="0"/>
        <v>2714669847</v>
      </c>
      <c r="BB37" s="471">
        <f t="shared" si="1"/>
        <v>3166373151</v>
      </c>
    </row>
    <row r="38" spans="1:54" ht="17.25">
      <c r="A38" s="387" t="s">
        <v>197</v>
      </c>
      <c r="B38" s="459"/>
      <c r="C38" s="788">
        <v>-451876</v>
      </c>
      <c r="D38" s="856">
        <v>-2147272</v>
      </c>
      <c r="E38" s="758">
        <v>36765</v>
      </c>
      <c r="F38" s="453">
        <v>-117194</v>
      </c>
      <c r="G38" s="453">
        <v>-42908</v>
      </c>
      <c r="H38" s="461">
        <v>69575</v>
      </c>
      <c r="I38" s="453"/>
      <c r="J38" s="453"/>
      <c r="K38" s="453">
        <v>-299436</v>
      </c>
      <c r="L38" s="453">
        <v>128934</v>
      </c>
      <c r="M38" s="453"/>
      <c r="N38" s="464"/>
      <c r="O38" s="464"/>
      <c r="P38" s="453">
        <v>-58880</v>
      </c>
      <c r="Q38" s="453">
        <v>-453535</v>
      </c>
      <c r="R38" s="467">
        <v>-410078</v>
      </c>
      <c r="S38" s="467">
        <v>-75765</v>
      </c>
      <c r="T38" s="453">
        <v>-83426</v>
      </c>
      <c r="U38" s="453"/>
      <c r="V38" s="453"/>
      <c r="W38" s="453">
        <v>2576320</v>
      </c>
      <c r="X38" s="453">
        <v>-499061</v>
      </c>
      <c r="Y38" s="453">
        <v>-7063465</v>
      </c>
      <c r="Z38" s="453">
        <v>-23446270</v>
      </c>
      <c r="AA38" s="453">
        <v>117498</v>
      </c>
      <c r="AB38" s="470">
        <v>-14710</v>
      </c>
      <c r="AC38" s="470"/>
      <c r="AD38" s="453"/>
      <c r="AE38" s="453">
        <v>-34966</v>
      </c>
      <c r="AF38" s="453">
        <v>-22088</v>
      </c>
      <c r="AG38" s="453">
        <v>-196579</v>
      </c>
      <c r="AH38" s="453">
        <v>-476525</v>
      </c>
      <c r="AI38" s="453">
        <v>-194134</v>
      </c>
      <c r="AJ38" s="453">
        <v>-1269189</v>
      </c>
      <c r="AK38" s="453"/>
      <c r="AL38" s="453"/>
      <c r="AM38" s="453"/>
      <c r="AN38" s="473"/>
      <c r="AO38" s="473">
        <v>-303647</v>
      </c>
      <c r="AP38" s="474">
        <v>-33769</v>
      </c>
      <c r="AQ38" s="474"/>
      <c r="AR38" s="477"/>
      <c r="AS38" s="477">
        <v>-456369</v>
      </c>
      <c r="AT38" s="471">
        <v>-175443</v>
      </c>
      <c r="AU38" s="471">
        <v>-444998</v>
      </c>
      <c r="AV38" s="453">
        <v>-1133004</v>
      </c>
      <c r="AW38" s="453">
        <f aca="true" t="shared" si="9" ref="AW38:AX45">SUM(C38+E38+G38+I38+K38+M38+O38+Q38+S38+U38+W38+Y38+AA38+AC38+AE38+AG38+AI38+AK38+AM38+AO38+AQ38+AS38+AU38)</f>
        <v>-7287095</v>
      </c>
      <c r="AX38" s="453">
        <f t="shared" si="9"/>
        <v>-29688400</v>
      </c>
      <c r="AY38" s="454"/>
      <c r="AZ38" s="453"/>
      <c r="BA38" s="471">
        <f t="shared" si="0"/>
        <v>-7287095</v>
      </c>
      <c r="BB38" s="471">
        <f t="shared" si="1"/>
        <v>-29688400</v>
      </c>
    </row>
    <row r="39" spans="1:54" ht="17.25">
      <c r="A39" s="387" t="s">
        <v>198</v>
      </c>
      <c r="B39" s="459"/>
      <c r="C39" s="788">
        <v>-1276621</v>
      </c>
      <c r="D39" s="856">
        <v>-764378</v>
      </c>
      <c r="E39" s="758"/>
      <c r="F39" s="453"/>
      <c r="G39" s="453"/>
      <c r="H39" s="461"/>
      <c r="I39" s="453"/>
      <c r="J39" s="453"/>
      <c r="K39" s="453"/>
      <c r="L39" s="453"/>
      <c r="M39" s="453"/>
      <c r="N39" s="464"/>
      <c r="O39" s="464"/>
      <c r="P39" s="453"/>
      <c r="Q39" s="453"/>
      <c r="R39" s="467"/>
      <c r="S39" s="467"/>
      <c r="T39" s="453"/>
      <c r="U39" s="453">
        <v>-165146</v>
      </c>
      <c r="V39" s="453">
        <v>115691</v>
      </c>
      <c r="W39" s="453"/>
      <c r="X39" s="453"/>
      <c r="Y39" s="453"/>
      <c r="Z39" s="453"/>
      <c r="AA39" s="453"/>
      <c r="AB39" s="470"/>
      <c r="AC39" s="470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73"/>
      <c r="AO39" s="473"/>
      <c r="AP39" s="443"/>
      <c r="AQ39" s="443"/>
      <c r="AR39" s="477"/>
      <c r="AS39" s="477"/>
      <c r="AT39" s="471"/>
      <c r="AU39" s="471"/>
      <c r="AV39" s="453"/>
      <c r="AW39" s="453">
        <f t="shared" si="9"/>
        <v>-1441767</v>
      </c>
      <c r="AX39" s="453">
        <f t="shared" si="9"/>
        <v>-648687</v>
      </c>
      <c r="AY39" s="454"/>
      <c r="AZ39" s="453"/>
      <c r="BA39" s="471">
        <f t="shared" si="0"/>
        <v>-1441767</v>
      </c>
      <c r="BB39" s="471">
        <f t="shared" si="1"/>
        <v>-648687</v>
      </c>
    </row>
    <row r="40" spans="1:54" ht="17.25">
      <c r="A40" s="387" t="s">
        <v>199</v>
      </c>
      <c r="B40" s="459"/>
      <c r="C40" s="788">
        <v>-10332792</v>
      </c>
      <c r="D40" s="856">
        <v>16796939</v>
      </c>
      <c r="E40" s="758"/>
      <c r="F40" s="453"/>
      <c r="G40" s="453"/>
      <c r="H40" s="461"/>
      <c r="I40" s="453">
        <v>-26413671</v>
      </c>
      <c r="J40" s="453">
        <v>5356078</v>
      </c>
      <c r="K40" s="453"/>
      <c r="L40" s="453"/>
      <c r="M40" s="453"/>
      <c r="N40" s="464"/>
      <c r="O40" s="464"/>
      <c r="P40" s="453"/>
      <c r="Q40" s="453"/>
      <c r="R40" s="467"/>
      <c r="S40" s="467"/>
      <c r="T40" s="453"/>
      <c r="U40" s="453"/>
      <c r="V40" s="453"/>
      <c r="W40" s="453">
        <v>6136585</v>
      </c>
      <c r="X40" s="453">
        <v>80526414</v>
      </c>
      <c r="Y40" s="453">
        <v>-4872360</v>
      </c>
      <c r="Z40" s="453">
        <v>119461835</v>
      </c>
      <c r="AA40" s="453"/>
      <c r="AB40" s="470"/>
      <c r="AC40" s="470">
        <v>-3286958</v>
      </c>
      <c r="AD40" s="453">
        <v>2361619</v>
      </c>
      <c r="AE40" s="453"/>
      <c r="AF40" s="453"/>
      <c r="AG40" s="453"/>
      <c r="AH40" s="453"/>
      <c r="AI40" s="453"/>
      <c r="AJ40" s="453"/>
      <c r="AK40" s="453"/>
      <c r="AL40" s="453"/>
      <c r="AM40" s="453"/>
      <c r="AN40" s="473"/>
      <c r="AO40" s="473">
        <v>12315425</v>
      </c>
      <c r="AP40" s="474">
        <v>82770648</v>
      </c>
      <c r="AQ40" s="474"/>
      <c r="AR40" s="477"/>
      <c r="AS40" s="477"/>
      <c r="AT40" s="471"/>
      <c r="AU40" s="471"/>
      <c r="AV40" s="453"/>
      <c r="AW40" s="453">
        <f t="shared" si="9"/>
        <v>-26453771</v>
      </c>
      <c r="AX40" s="453">
        <f t="shared" si="9"/>
        <v>307273533</v>
      </c>
      <c r="AY40" s="454"/>
      <c r="AZ40" s="453"/>
      <c r="BA40" s="471">
        <f t="shared" si="0"/>
        <v>-26453771</v>
      </c>
      <c r="BB40" s="471">
        <f t="shared" si="1"/>
        <v>307273533</v>
      </c>
    </row>
    <row r="41" spans="1:54" ht="17.25">
      <c r="A41" s="387" t="s">
        <v>200</v>
      </c>
      <c r="B41" s="459"/>
      <c r="C41" s="788"/>
      <c r="D41" s="857"/>
      <c r="E41" s="759"/>
      <c r="F41" s="454"/>
      <c r="G41" s="454">
        <v>-781304</v>
      </c>
      <c r="H41" s="462">
        <v>-468247</v>
      </c>
      <c r="I41" s="454">
        <v>106601</v>
      </c>
      <c r="J41" s="454">
        <v>1273476</v>
      </c>
      <c r="K41" s="454"/>
      <c r="L41" s="454"/>
      <c r="M41" s="454"/>
      <c r="N41" s="465"/>
      <c r="O41" s="465"/>
      <c r="P41" s="454"/>
      <c r="Q41" s="454"/>
      <c r="R41" s="468"/>
      <c r="S41" s="468"/>
      <c r="T41" s="454"/>
      <c r="U41" s="454"/>
      <c r="V41" s="454"/>
      <c r="W41" s="454">
        <v>1930161</v>
      </c>
      <c r="X41" s="454">
        <v>208240</v>
      </c>
      <c r="Y41" s="454">
        <v>10066847</v>
      </c>
      <c r="Z41" s="454">
        <v>6366265</v>
      </c>
      <c r="AA41" s="454"/>
      <c r="AB41" s="470"/>
      <c r="AC41" s="470">
        <v>144515</v>
      </c>
      <c r="AD41" s="454">
        <v>-290415</v>
      </c>
      <c r="AE41" s="454"/>
      <c r="AF41" s="472"/>
      <c r="AG41" s="472">
        <v>1790744</v>
      </c>
      <c r="AH41" s="454">
        <v>1980822</v>
      </c>
      <c r="AI41" s="454"/>
      <c r="AJ41" s="454"/>
      <c r="AK41" s="454"/>
      <c r="AL41" s="454"/>
      <c r="AM41" s="454"/>
      <c r="AN41" s="473"/>
      <c r="AO41" s="473">
        <v>271617</v>
      </c>
      <c r="AP41" s="474">
        <v>3755372</v>
      </c>
      <c r="AQ41" s="474"/>
      <c r="AR41" s="477"/>
      <c r="AS41" s="477">
        <v>583694</v>
      </c>
      <c r="AT41" s="453">
        <v>-212266</v>
      </c>
      <c r="AU41" s="453"/>
      <c r="AV41" s="454"/>
      <c r="AW41" s="453">
        <f t="shared" si="9"/>
        <v>14112875</v>
      </c>
      <c r="AX41" s="453">
        <f t="shared" si="9"/>
        <v>12613247</v>
      </c>
      <c r="AY41" s="454">
        <v>666</v>
      </c>
      <c r="AZ41" s="454">
        <v>10702</v>
      </c>
      <c r="BA41" s="471">
        <f t="shared" si="0"/>
        <v>14113541</v>
      </c>
      <c r="BB41" s="471">
        <f t="shared" si="1"/>
        <v>12623949</v>
      </c>
    </row>
    <row r="42" spans="1:54" ht="17.25">
      <c r="A42" s="387" t="s">
        <v>235</v>
      </c>
      <c r="B42" s="459"/>
      <c r="C42" s="788"/>
      <c r="D42" s="857"/>
      <c r="E42" s="759"/>
      <c r="F42" s="454"/>
      <c r="G42" s="454"/>
      <c r="H42" s="462"/>
      <c r="I42" s="454"/>
      <c r="J42" s="454"/>
      <c r="K42" s="454"/>
      <c r="L42" s="454"/>
      <c r="M42" s="454"/>
      <c r="N42" s="465"/>
      <c r="O42" s="465"/>
      <c r="P42" s="454"/>
      <c r="Q42" s="454"/>
      <c r="R42" s="468"/>
      <c r="S42" s="468"/>
      <c r="T42" s="454"/>
      <c r="U42" s="454"/>
      <c r="V42" s="454"/>
      <c r="W42" s="454"/>
      <c r="X42" s="454"/>
      <c r="Y42" s="454"/>
      <c r="Z42" s="454"/>
      <c r="AA42" s="454"/>
      <c r="AB42" s="470"/>
      <c r="AC42" s="470"/>
      <c r="AD42" s="454"/>
      <c r="AE42" s="454">
        <v>-682562</v>
      </c>
      <c r="AF42" s="472">
        <v>19042728</v>
      </c>
      <c r="AG42" s="472"/>
      <c r="AH42" s="454"/>
      <c r="AI42" s="454"/>
      <c r="AJ42" s="454"/>
      <c r="AK42" s="454"/>
      <c r="AL42" s="454"/>
      <c r="AM42" s="453">
        <v>-827011</v>
      </c>
      <c r="AN42" s="473">
        <v>-434754</v>
      </c>
      <c r="AO42" s="473"/>
      <c r="AP42" s="474"/>
      <c r="AQ42" s="474"/>
      <c r="AR42" s="477"/>
      <c r="AS42" s="477">
        <v>-4254705</v>
      </c>
      <c r="AT42" s="453">
        <v>-1696876</v>
      </c>
      <c r="AU42" s="453"/>
      <c r="AV42" s="454"/>
      <c r="AW42" s="453">
        <f t="shared" si="9"/>
        <v>-5764278</v>
      </c>
      <c r="AX42" s="453">
        <f t="shared" si="9"/>
        <v>16911098</v>
      </c>
      <c r="AY42" s="454">
        <v>-111128617</v>
      </c>
      <c r="AZ42" s="454">
        <v>15287112</v>
      </c>
      <c r="BA42" s="471">
        <f t="shared" si="0"/>
        <v>-116892895</v>
      </c>
      <c r="BB42" s="471">
        <f t="shared" si="1"/>
        <v>32198210</v>
      </c>
    </row>
    <row r="43" spans="1:54" ht="17.25">
      <c r="A43" s="387" t="s">
        <v>239</v>
      </c>
      <c r="B43" s="459"/>
      <c r="C43" s="788"/>
      <c r="D43" s="857"/>
      <c r="E43" s="759"/>
      <c r="F43" s="454"/>
      <c r="G43" s="454"/>
      <c r="H43" s="462"/>
      <c r="I43" s="454"/>
      <c r="J43" s="454">
        <v>278630</v>
      </c>
      <c r="K43" s="454"/>
      <c r="L43" s="454"/>
      <c r="M43" s="454"/>
      <c r="N43" s="465"/>
      <c r="O43" s="465"/>
      <c r="P43" s="454"/>
      <c r="Q43" s="454"/>
      <c r="R43" s="468"/>
      <c r="S43" s="468"/>
      <c r="T43" s="454"/>
      <c r="U43" s="454"/>
      <c r="V43" s="454"/>
      <c r="W43" s="454"/>
      <c r="X43" s="454"/>
      <c r="Y43" s="454"/>
      <c r="Z43" s="454"/>
      <c r="AA43" s="454"/>
      <c r="AB43" s="470"/>
      <c r="AC43" s="470"/>
      <c r="AD43" s="454"/>
      <c r="AE43" s="454"/>
      <c r="AF43" s="472"/>
      <c r="AG43" s="472"/>
      <c r="AH43" s="454"/>
      <c r="AI43" s="454"/>
      <c r="AJ43" s="454"/>
      <c r="AK43" s="454"/>
      <c r="AL43" s="454"/>
      <c r="AM43" s="454"/>
      <c r="AN43" s="473"/>
      <c r="AO43" s="473"/>
      <c r="AP43" s="474"/>
      <c r="AQ43" s="474"/>
      <c r="AR43" s="477"/>
      <c r="AS43" s="477"/>
      <c r="AT43" s="453"/>
      <c r="AU43" s="453"/>
      <c r="AV43" s="454"/>
      <c r="AW43" s="453">
        <f t="shared" si="9"/>
        <v>0</v>
      </c>
      <c r="AX43" s="453">
        <f t="shared" si="9"/>
        <v>278630</v>
      </c>
      <c r="AY43" s="454"/>
      <c r="AZ43" s="454"/>
      <c r="BA43" s="471">
        <f t="shared" si="0"/>
        <v>0</v>
      </c>
      <c r="BB43" s="471">
        <f t="shared" si="1"/>
        <v>278630</v>
      </c>
    </row>
    <row r="44" spans="1:54" s="873" customFormat="1" ht="18">
      <c r="A44" s="874" t="s">
        <v>201</v>
      </c>
      <c r="B44" s="875"/>
      <c r="C44" s="876">
        <v>48481707</v>
      </c>
      <c r="D44" s="877">
        <v>86145404</v>
      </c>
      <c r="E44" s="878">
        <v>3604903</v>
      </c>
      <c r="F44" s="879">
        <v>5181539</v>
      </c>
      <c r="G44" s="879">
        <v>5357068</v>
      </c>
      <c r="H44" s="880">
        <v>8748505</v>
      </c>
      <c r="I44" s="879">
        <v>-1475534</v>
      </c>
      <c r="J44" s="879">
        <v>41101766</v>
      </c>
      <c r="K44" s="879">
        <v>6812993</v>
      </c>
      <c r="L44" s="879">
        <v>12424185</v>
      </c>
      <c r="M44" s="879"/>
      <c r="N44" s="881">
        <v>32982174</v>
      </c>
      <c r="O44" s="881"/>
      <c r="P44" s="879">
        <v>7938185</v>
      </c>
      <c r="Q44" s="879">
        <v>2738493</v>
      </c>
      <c r="R44" s="887">
        <v>4692911</v>
      </c>
      <c r="S44" s="887">
        <v>16951051</v>
      </c>
      <c r="T44" s="879">
        <v>25282678</v>
      </c>
      <c r="U44" s="879">
        <v>4507111</v>
      </c>
      <c r="V44" s="879">
        <v>6490633</v>
      </c>
      <c r="W44" s="879">
        <v>141701005</v>
      </c>
      <c r="X44" s="879">
        <v>260551427</v>
      </c>
      <c r="Y44" s="879">
        <v>159429046</v>
      </c>
      <c r="Z44" s="879">
        <v>324954300</v>
      </c>
      <c r="AA44" s="879">
        <v>10831846</v>
      </c>
      <c r="AB44" s="883">
        <v>17377196</v>
      </c>
      <c r="AC44" s="883">
        <v>21557846</v>
      </c>
      <c r="AD44" s="879">
        <v>29043979</v>
      </c>
      <c r="AE44" s="879">
        <v>31601252</v>
      </c>
      <c r="AF44" s="879">
        <v>59324582</v>
      </c>
      <c r="AG44" s="879">
        <v>78352255</v>
      </c>
      <c r="AH44" s="879">
        <v>116468178</v>
      </c>
      <c r="AI44" s="879">
        <v>20127520</v>
      </c>
      <c r="AJ44" s="879">
        <v>36691853</v>
      </c>
      <c r="AK44" s="879">
        <v>35959434</v>
      </c>
      <c r="AL44" s="879">
        <v>48637381</v>
      </c>
      <c r="AM44" s="879">
        <v>1358209</v>
      </c>
      <c r="AN44" s="884">
        <v>1934704</v>
      </c>
      <c r="AO44" s="884">
        <v>159537824</v>
      </c>
      <c r="AP44" s="885">
        <v>267911629</v>
      </c>
      <c r="AQ44" s="885">
        <v>5780616</v>
      </c>
      <c r="AR44" s="886">
        <v>9781656</v>
      </c>
      <c r="AS44" s="886">
        <v>10385363</v>
      </c>
      <c r="AT44" s="883">
        <v>16659980</v>
      </c>
      <c r="AU44" s="883">
        <v>22415205</v>
      </c>
      <c r="AV44" s="879">
        <v>46931668</v>
      </c>
      <c r="AW44" s="879">
        <f t="shared" si="9"/>
        <v>786015213</v>
      </c>
      <c r="AX44" s="879">
        <f t="shared" si="9"/>
        <v>1467256513</v>
      </c>
      <c r="AY44" s="879">
        <v>3770876841</v>
      </c>
      <c r="AZ44" s="879">
        <v>4338014830</v>
      </c>
      <c r="BA44" s="883">
        <f t="shared" si="0"/>
        <v>4556892054</v>
      </c>
      <c r="BB44" s="883">
        <f t="shared" si="1"/>
        <v>5805271343</v>
      </c>
    </row>
    <row r="45" spans="1:54" s="873" customFormat="1" ht="18">
      <c r="A45" s="874" t="s">
        <v>202</v>
      </c>
      <c r="B45" s="875"/>
      <c r="C45" s="876">
        <v>3455923</v>
      </c>
      <c r="D45" s="877">
        <v>3286720</v>
      </c>
      <c r="E45" s="878">
        <v>-641206</v>
      </c>
      <c r="F45" s="879">
        <v>-697325</v>
      </c>
      <c r="G45" s="879">
        <v>39580</v>
      </c>
      <c r="H45" s="880">
        <v>265674</v>
      </c>
      <c r="I45" s="879">
        <v>2349362</v>
      </c>
      <c r="J45" s="879">
        <v>879892</v>
      </c>
      <c r="K45" s="879">
        <v>-582128</v>
      </c>
      <c r="L45" s="879">
        <v>1462240</v>
      </c>
      <c r="M45" s="879"/>
      <c r="N45" s="881">
        <v>774498</v>
      </c>
      <c r="O45" s="881"/>
      <c r="P45" s="879">
        <v>1829413</v>
      </c>
      <c r="Q45" s="879"/>
      <c r="R45" s="887">
        <f>R21-(R33+R44)</f>
        <v>0</v>
      </c>
      <c r="S45" s="887">
        <v>874518</v>
      </c>
      <c r="T45" s="879">
        <v>1241885</v>
      </c>
      <c r="U45" s="879">
        <v>86055</v>
      </c>
      <c r="V45" s="879">
        <v>320155</v>
      </c>
      <c r="W45" s="879">
        <v>9595791</v>
      </c>
      <c r="X45" s="879">
        <v>9476456</v>
      </c>
      <c r="Y45" s="879">
        <v>14124185</v>
      </c>
      <c r="Z45" s="879">
        <v>11526517</v>
      </c>
      <c r="AA45" s="879">
        <v>84503</v>
      </c>
      <c r="AB45" s="883">
        <v>177521</v>
      </c>
      <c r="AC45" s="883">
        <v>52969</v>
      </c>
      <c r="AD45" s="879">
        <v>744569</v>
      </c>
      <c r="AE45" s="879">
        <v>1764384</v>
      </c>
      <c r="AF45" s="879">
        <v>2239364</v>
      </c>
      <c r="AG45" s="879">
        <v>4632497</v>
      </c>
      <c r="AH45" s="879">
        <v>6553154</v>
      </c>
      <c r="AI45" s="879">
        <v>556397</v>
      </c>
      <c r="AJ45" s="879">
        <v>405960</v>
      </c>
      <c r="AK45" s="879">
        <v>802155</v>
      </c>
      <c r="AL45" s="879">
        <v>1393660</v>
      </c>
      <c r="AM45" s="879">
        <v>203059</v>
      </c>
      <c r="AN45" s="884">
        <v>171941</v>
      </c>
      <c r="AO45" s="884">
        <v>6643504</v>
      </c>
      <c r="AP45" s="885">
        <v>6543634</v>
      </c>
      <c r="AQ45" s="885">
        <v>431961</v>
      </c>
      <c r="AR45" s="886">
        <v>560843</v>
      </c>
      <c r="AS45" s="886">
        <v>210966</v>
      </c>
      <c r="AT45" s="883">
        <v>1008983</v>
      </c>
      <c r="AU45" s="883">
        <v>1250313</v>
      </c>
      <c r="AV45" s="879">
        <v>804224</v>
      </c>
      <c r="AW45" s="879">
        <f t="shared" si="9"/>
        <v>45934788</v>
      </c>
      <c r="AX45" s="879">
        <f t="shared" si="9"/>
        <v>50969978</v>
      </c>
      <c r="AY45" s="879">
        <v>24970348</v>
      </c>
      <c r="AZ45" s="879">
        <v>22003336</v>
      </c>
      <c r="BA45" s="883">
        <f t="shared" si="0"/>
        <v>70905136</v>
      </c>
      <c r="BB45" s="883">
        <f t="shared" si="1"/>
        <v>72973314</v>
      </c>
    </row>
    <row r="46" spans="1:54" ht="17.25">
      <c r="A46" s="455" t="s">
        <v>256</v>
      </c>
      <c r="B46" s="459"/>
      <c r="C46" s="788"/>
      <c r="D46" s="857"/>
      <c r="E46" s="759"/>
      <c r="F46" s="453"/>
      <c r="G46" s="453"/>
      <c r="H46" s="461"/>
      <c r="I46" s="453">
        <v>222760</v>
      </c>
      <c r="J46" s="453">
        <v>156887</v>
      </c>
      <c r="K46" s="453"/>
      <c r="L46" s="453"/>
      <c r="M46" s="453"/>
      <c r="N46" s="464"/>
      <c r="O46" s="464"/>
      <c r="P46" s="453"/>
      <c r="Q46" s="453"/>
      <c r="R46" s="468"/>
      <c r="S46" s="468"/>
      <c r="T46" s="453"/>
      <c r="U46" s="453"/>
      <c r="V46" s="453"/>
      <c r="W46" s="453"/>
      <c r="X46" s="453"/>
      <c r="Y46" s="453">
        <v>-702871</v>
      </c>
      <c r="Z46" s="453">
        <v>-788117</v>
      </c>
      <c r="AA46" s="453"/>
      <c r="AB46" s="471"/>
      <c r="AC46" s="471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73"/>
      <c r="AO46" s="473"/>
      <c r="AP46" s="475"/>
      <c r="AQ46" s="475"/>
      <c r="AR46" s="477"/>
      <c r="AS46" s="477"/>
      <c r="AT46" s="471"/>
      <c r="AU46" s="471"/>
      <c r="AV46" s="453"/>
      <c r="AW46" s="453">
        <f aca="true" t="shared" si="10" ref="AW46:AW61">SUM(C46+E46+G46+I46+K46+M46+O46+Q46+S46+U46+W46+Y46+AA46+AC46+AE46+AG46+AI46+AK46+AM46+AO46+AQ46+AS46+AU46)</f>
        <v>-480111</v>
      </c>
      <c r="AX46" s="453">
        <f aca="true" t="shared" si="11" ref="AX46:AX61">SUM(D46+F46+H46+J46+L46+N46+P46+R46+T46+V46+X46+Z46+AB46+AD46+AF46+AH46+AJ46+AL46+AN46+AP46+AR46+AT46+AV46)</f>
        <v>-631230</v>
      </c>
      <c r="AY46" s="454"/>
      <c r="AZ46" s="453"/>
      <c r="BA46" s="471">
        <f t="shared" si="0"/>
        <v>-480111</v>
      </c>
      <c r="BB46" s="471">
        <f t="shared" si="1"/>
        <v>-631230</v>
      </c>
    </row>
    <row r="47" spans="1:54" ht="17.25">
      <c r="A47" s="455" t="s">
        <v>257</v>
      </c>
      <c r="B47" s="459"/>
      <c r="C47" s="788"/>
      <c r="D47" s="857"/>
      <c r="E47" s="759"/>
      <c r="F47" s="453"/>
      <c r="G47" s="453"/>
      <c r="H47" s="461"/>
      <c r="I47" s="453"/>
      <c r="J47" s="453"/>
      <c r="K47" s="453"/>
      <c r="L47" s="453"/>
      <c r="M47" s="453"/>
      <c r="N47" s="464"/>
      <c r="O47" s="464"/>
      <c r="P47" s="453"/>
      <c r="Q47" s="453"/>
      <c r="R47" s="468"/>
      <c r="S47" s="468"/>
      <c r="T47" s="453"/>
      <c r="U47" s="453"/>
      <c r="V47" s="453"/>
      <c r="W47" s="453"/>
      <c r="X47" s="453"/>
      <c r="Y47" s="453">
        <v>-636</v>
      </c>
      <c r="Z47" s="453">
        <v>-233</v>
      </c>
      <c r="AA47" s="453"/>
      <c r="AB47" s="471"/>
      <c r="AC47" s="471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73"/>
      <c r="AO47" s="473"/>
      <c r="AP47" s="475"/>
      <c r="AQ47" s="475"/>
      <c r="AR47" s="477"/>
      <c r="AS47" s="477"/>
      <c r="AT47" s="471"/>
      <c r="AU47" s="471"/>
      <c r="AV47" s="453"/>
      <c r="AW47" s="453">
        <f t="shared" si="10"/>
        <v>-636</v>
      </c>
      <c r="AX47" s="453">
        <f t="shared" si="11"/>
        <v>-233</v>
      </c>
      <c r="AY47" s="454"/>
      <c r="AZ47" s="453"/>
      <c r="BA47" s="471">
        <f t="shared" si="0"/>
        <v>-636</v>
      </c>
      <c r="BB47" s="471">
        <f t="shared" si="1"/>
        <v>-233</v>
      </c>
    </row>
    <row r="48" spans="1:54" ht="17.25">
      <c r="A48" s="455" t="s">
        <v>203</v>
      </c>
      <c r="B48" s="459"/>
      <c r="C48" s="788"/>
      <c r="D48" s="856"/>
      <c r="E48" s="758"/>
      <c r="F48" s="453"/>
      <c r="G48" s="453"/>
      <c r="H48" s="461"/>
      <c r="I48" s="453"/>
      <c r="J48" s="453"/>
      <c r="K48" s="453"/>
      <c r="L48" s="453"/>
      <c r="M48" s="453"/>
      <c r="N48" s="464"/>
      <c r="O48" s="464"/>
      <c r="P48" s="453"/>
      <c r="Q48" s="453"/>
      <c r="R48" s="467"/>
      <c r="S48" s="467"/>
      <c r="T48" s="453"/>
      <c r="U48" s="453"/>
      <c r="V48" s="453"/>
      <c r="W48" s="453"/>
      <c r="X48" s="453"/>
      <c r="Y48" s="453"/>
      <c r="Z48" s="453"/>
      <c r="AA48" s="453"/>
      <c r="AB48" s="471"/>
      <c r="AC48" s="471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73"/>
      <c r="AO48" s="473"/>
      <c r="AP48" s="443"/>
      <c r="AQ48" s="443"/>
      <c r="AR48" s="477"/>
      <c r="AS48" s="477"/>
      <c r="AT48" s="471"/>
      <c r="AU48" s="471"/>
      <c r="AV48" s="453"/>
      <c r="AW48" s="453">
        <f t="shared" si="10"/>
        <v>0</v>
      </c>
      <c r="AX48" s="453">
        <f t="shared" si="11"/>
        <v>0</v>
      </c>
      <c r="AY48" s="454"/>
      <c r="AZ48" s="453"/>
      <c r="BA48" s="471">
        <f t="shared" si="0"/>
        <v>0</v>
      </c>
      <c r="BB48" s="471">
        <f t="shared" si="1"/>
        <v>0</v>
      </c>
    </row>
    <row r="49" spans="1:54" ht="17.25">
      <c r="A49" s="455" t="s">
        <v>242</v>
      </c>
      <c r="B49" s="459"/>
      <c r="C49" s="788"/>
      <c r="D49" s="856"/>
      <c r="E49" s="758"/>
      <c r="F49" s="453"/>
      <c r="G49" s="453"/>
      <c r="H49" s="461"/>
      <c r="I49" s="453"/>
      <c r="J49" s="453"/>
      <c r="K49" s="453"/>
      <c r="L49" s="453"/>
      <c r="M49" s="453"/>
      <c r="N49" s="464"/>
      <c r="O49" s="464"/>
      <c r="P49" s="453"/>
      <c r="Q49" s="453"/>
      <c r="R49" s="467"/>
      <c r="S49" s="467"/>
      <c r="T49" s="453"/>
      <c r="U49" s="453"/>
      <c r="V49" s="453"/>
      <c r="W49" s="453"/>
      <c r="X49" s="453"/>
      <c r="Y49" s="453"/>
      <c r="Z49" s="453"/>
      <c r="AA49" s="453"/>
      <c r="AB49" s="471"/>
      <c r="AC49" s="471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73"/>
      <c r="AO49" s="473"/>
      <c r="AP49" s="443"/>
      <c r="AQ49" s="443"/>
      <c r="AR49" s="477"/>
      <c r="AS49" s="477"/>
      <c r="AT49" s="471"/>
      <c r="AU49" s="471">
        <v>-33318</v>
      </c>
      <c r="AV49" s="453">
        <v>-11398</v>
      </c>
      <c r="AW49" s="453">
        <f t="shared" si="10"/>
        <v>-33318</v>
      </c>
      <c r="AX49" s="453">
        <f t="shared" si="11"/>
        <v>-11398</v>
      </c>
      <c r="AY49" s="454"/>
      <c r="AZ49" s="453"/>
      <c r="BA49" s="471">
        <f t="shared" si="0"/>
        <v>-33318</v>
      </c>
      <c r="BB49" s="471">
        <f t="shared" si="1"/>
        <v>-11398</v>
      </c>
    </row>
    <row r="50" spans="1:54" ht="17.25">
      <c r="A50" s="387" t="s">
        <v>204</v>
      </c>
      <c r="B50" s="459"/>
      <c r="C50" s="788"/>
      <c r="D50" s="856"/>
      <c r="E50" s="758"/>
      <c r="F50" s="453"/>
      <c r="G50" s="453"/>
      <c r="H50" s="461"/>
      <c r="I50" s="453"/>
      <c r="J50" s="453"/>
      <c r="K50" s="453"/>
      <c r="L50" s="453"/>
      <c r="M50" s="453"/>
      <c r="N50" s="464"/>
      <c r="O50" s="464"/>
      <c r="P50" s="453"/>
      <c r="Q50" s="453"/>
      <c r="R50" s="467"/>
      <c r="S50" s="467"/>
      <c r="T50" s="453"/>
      <c r="U50" s="453"/>
      <c r="V50" s="453"/>
      <c r="W50" s="453"/>
      <c r="X50" s="453"/>
      <c r="Y50" s="453"/>
      <c r="Z50" s="453"/>
      <c r="AA50" s="453"/>
      <c r="AB50" s="471"/>
      <c r="AC50" s="471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73"/>
      <c r="AO50" s="473"/>
      <c r="AP50" s="474"/>
      <c r="AQ50" s="474"/>
      <c r="AR50" s="477"/>
      <c r="AS50" s="477"/>
      <c r="AT50" s="471"/>
      <c r="AU50" s="471">
        <v>1216995</v>
      </c>
      <c r="AV50" s="453">
        <v>792826</v>
      </c>
      <c r="AW50" s="453">
        <f t="shared" si="10"/>
        <v>1216995</v>
      </c>
      <c r="AX50" s="453">
        <f t="shared" si="11"/>
        <v>792826</v>
      </c>
      <c r="AY50" s="454"/>
      <c r="AZ50" s="453"/>
      <c r="BA50" s="471">
        <f t="shared" si="0"/>
        <v>1216995</v>
      </c>
      <c r="BB50" s="471">
        <f t="shared" si="1"/>
        <v>792826</v>
      </c>
    </row>
    <row r="51" spans="1:54" ht="17.25">
      <c r="A51" s="455" t="s">
        <v>100</v>
      </c>
      <c r="B51" s="459"/>
      <c r="C51" s="788"/>
      <c r="D51" s="857"/>
      <c r="E51" s="759"/>
      <c r="F51" s="454"/>
      <c r="G51" s="454"/>
      <c r="H51" s="462"/>
      <c r="I51" s="454"/>
      <c r="J51" s="454"/>
      <c r="K51" s="454"/>
      <c r="L51" s="454"/>
      <c r="M51" s="454"/>
      <c r="N51" s="465"/>
      <c r="O51" s="465"/>
      <c r="P51" s="454"/>
      <c r="Q51" s="454"/>
      <c r="R51" s="468"/>
      <c r="S51" s="468"/>
      <c r="T51" s="454"/>
      <c r="U51" s="454"/>
      <c r="V51" s="454"/>
      <c r="W51" s="454"/>
      <c r="X51" s="454"/>
      <c r="Y51" s="454"/>
      <c r="Z51" s="454"/>
      <c r="AA51" s="454"/>
      <c r="AB51" s="453"/>
      <c r="AC51" s="453"/>
      <c r="AD51" s="454"/>
      <c r="AE51" s="454"/>
      <c r="AF51" s="472"/>
      <c r="AG51" s="472"/>
      <c r="AH51" s="454"/>
      <c r="AI51" s="454"/>
      <c r="AJ51" s="454"/>
      <c r="AK51" s="454"/>
      <c r="AL51" s="454"/>
      <c r="AM51" s="454"/>
      <c r="AN51" s="473"/>
      <c r="AO51" s="473"/>
      <c r="AP51" s="443"/>
      <c r="AQ51" s="443"/>
      <c r="AR51" s="477"/>
      <c r="AS51" s="477"/>
      <c r="AT51" s="453"/>
      <c r="AU51" s="453"/>
      <c r="AV51" s="454"/>
      <c r="AW51" s="453">
        <f t="shared" si="10"/>
        <v>0</v>
      </c>
      <c r="AX51" s="453">
        <f t="shared" si="11"/>
        <v>0</v>
      </c>
      <c r="AY51" s="454"/>
      <c r="AZ51" s="454"/>
      <c r="BA51" s="471">
        <f t="shared" si="0"/>
        <v>0</v>
      </c>
      <c r="BB51" s="471">
        <f t="shared" si="1"/>
        <v>0</v>
      </c>
    </row>
    <row r="52" spans="1:54" ht="17.25">
      <c r="A52" s="387" t="s">
        <v>205</v>
      </c>
      <c r="B52" s="459"/>
      <c r="C52" s="788">
        <v>3508820</v>
      </c>
      <c r="D52" s="856">
        <v>3349885</v>
      </c>
      <c r="E52" s="758"/>
      <c r="F52" s="453"/>
      <c r="G52" s="453">
        <v>592340</v>
      </c>
      <c r="H52" s="461">
        <v>854103</v>
      </c>
      <c r="I52" s="453">
        <v>2126602</v>
      </c>
      <c r="J52" s="453">
        <v>723005</v>
      </c>
      <c r="K52" s="453">
        <v>-584616</v>
      </c>
      <c r="L52" s="453">
        <v>1458821</v>
      </c>
      <c r="M52" s="453"/>
      <c r="N52" s="464">
        <v>639730</v>
      </c>
      <c r="O52" s="464"/>
      <c r="P52" s="453">
        <v>1829414</v>
      </c>
      <c r="Q52" s="453"/>
      <c r="R52" s="469"/>
      <c r="S52" s="469">
        <v>469081</v>
      </c>
      <c r="T52" s="453">
        <v>897335</v>
      </c>
      <c r="U52" s="453">
        <v>85972</v>
      </c>
      <c r="V52" s="453">
        <v>54552</v>
      </c>
      <c r="W52" s="453">
        <v>7182475</v>
      </c>
      <c r="X52" s="453">
        <v>7863394</v>
      </c>
      <c r="Y52" s="453">
        <v>12076435</v>
      </c>
      <c r="Z52" s="453">
        <v>11315442</v>
      </c>
      <c r="AA52" s="453">
        <f>138097-53594</f>
        <v>84503</v>
      </c>
      <c r="AB52" s="471">
        <f>439384-261863</f>
        <v>177521</v>
      </c>
      <c r="AC52" s="471">
        <v>223289</v>
      </c>
      <c r="AD52" s="453">
        <v>628719</v>
      </c>
      <c r="AE52" s="453">
        <v>1652252</v>
      </c>
      <c r="AF52" s="453">
        <v>2030560</v>
      </c>
      <c r="AG52" s="453">
        <v>3351180</v>
      </c>
      <c r="AH52" s="453">
        <v>5551160</v>
      </c>
      <c r="AI52" s="453">
        <v>92123</v>
      </c>
      <c r="AJ52" s="453">
        <v>146884</v>
      </c>
      <c r="AK52" s="453">
        <v>792801</v>
      </c>
      <c r="AL52" s="453">
        <v>811185</v>
      </c>
      <c r="AM52" s="453">
        <v>55364</v>
      </c>
      <c r="AN52" s="473">
        <v>72323</v>
      </c>
      <c r="AO52" s="473">
        <v>6655825</v>
      </c>
      <c r="AP52" s="474">
        <v>6545941</v>
      </c>
      <c r="AQ52" s="474">
        <v>429406</v>
      </c>
      <c r="AR52" s="477">
        <v>570875</v>
      </c>
      <c r="AS52" s="477">
        <v>433335</v>
      </c>
      <c r="AT52" s="471">
        <v>602601</v>
      </c>
      <c r="AU52" s="471">
        <v>1003280</v>
      </c>
      <c r="AV52" s="453">
        <v>1023646</v>
      </c>
      <c r="AW52" s="453">
        <f t="shared" si="10"/>
        <v>40230467</v>
      </c>
      <c r="AX52" s="453">
        <f t="shared" si="11"/>
        <v>47147096</v>
      </c>
      <c r="AY52" s="454">
        <f>AY45</f>
        <v>24970348</v>
      </c>
      <c r="AZ52" s="453">
        <f>AZ45</f>
        <v>22003336</v>
      </c>
      <c r="BA52" s="471">
        <f t="shared" si="0"/>
        <v>65200815</v>
      </c>
      <c r="BB52" s="471">
        <f t="shared" si="1"/>
        <v>69150432</v>
      </c>
    </row>
    <row r="53" spans="1:54" ht="17.25">
      <c r="A53" s="387" t="s">
        <v>233</v>
      </c>
      <c r="B53" s="459"/>
      <c r="C53" s="788"/>
      <c r="D53" s="856"/>
      <c r="E53" s="758">
        <v>-636797</v>
      </c>
      <c r="F53" s="453">
        <v>-697789</v>
      </c>
      <c r="G53" s="453"/>
      <c r="H53" s="461"/>
      <c r="I53" s="453"/>
      <c r="J53" s="453"/>
      <c r="K53" s="453"/>
      <c r="L53" s="453"/>
      <c r="M53" s="453"/>
      <c r="N53" s="464"/>
      <c r="O53" s="464"/>
      <c r="P53" s="453"/>
      <c r="Q53" s="453"/>
      <c r="R53" s="469"/>
      <c r="S53" s="469"/>
      <c r="T53" s="453"/>
      <c r="U53" s="453"/>
      <c r="V53" s="453"/>
      <c r="W53" s="453"/>
      <c r="X53" s="453"/>
      <c r="Y53" s="453"/>
      <c r="Z53" s="453"/>
      <c r="AA53" s="453"/>
      <c r="AB53" s="471"/>
      <c r="AC53" s="471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73"/>
      <c r="AO53" s="473"/>
      <c r="AP53" s="474"/>
      <c r="AQ53" s="474"/>
      <c r="AR53" s="477"/>
      <c r="AS53" s="477"/>
      <c r="AT53" s="471"/>
      <c r="AU53" s="471"/>
      <c r="AV53" s="453"/>
      <c r="AW53" s="453">
        <f t="shared" si="10"/>
        <v>-636797</v>
      </c>
      <c r="AX53" s="453">
        <f t="shared" si="11"/>
        <v>-697789</v>
      </c>
      <c r="AY53" s="454"/>
      <c r="AZ53" s="453"/>
      <c r="BA53" s="471">
        <f t="shared" si="0"/>
        <v>-636797</v>
      </c>
      <c r="BB53" s="471">
        <f t="shared" si="1"/>
        <v>-697789</v>
      </c>
    </row>
    <row r="54" spans="1:54" ht="17.25">
      <c r="A54" s="387" t="s">
        <v>206</v>
      </c>
      <c r="B54" s="459"/>
      <c r="C54" s="788"/>
      <c r="D54" s="856"/>
      <c r="E54" s="758"/>
      <c r="F54" s="453"/>
      <c r="G54" s="453"/>
      <c r="H54" s="461"/>
      <c r="I54" s="453"/>
      <c r="J54" s="453"/>
      <c r="K54" s="453"/>
      <c r="L54" s="453"/>
      <c r="M54" s="453"/>
      <c r="N54" s="464"/>
      <c r="O54" s="464"/>
      <c r="P54" s="453"/>
      <c r="Q54" s="453"/>
      <c r="R54" s="469"/>
      <c r="S54" s="469"/>
      <c r="T54" s="453"/>
      <c r="U54" s="453"/>
      <c r="V54" s="453"/>
      <c r="W54" s="453"/>
      <c r="X54" s="453"/>
      <c r="Y54" s="453"/>
      <c r="Z54" s="453"/>
      <c r="AA54" s="453"/>
      <c r="AB54" s="471"/>
      <c r="AC54" s="471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73"/>
      <c r="AO54" s="473"/>
      <c r="AP54" s="443"/>
      <c r="AQ54" s="443"/>
      <c r="AR54" s="477"/>
      <c r="AS54" s="477"/>
      <c r="AT54" s="471"/>
      <c r="AU54" s="471"/>
      <c r="AV54" s="453"/>
      <c r="AW54" s="453">
        <f t="shared" si="10"/>
        <v>0</v>
      </c>
      <c r="AX54" s="453">
        <f t="shared" si="11"/>
        <v>0</v>
      </c>
      <c r="AY54" s="454"/>
      <c r="AZ54" s="453"/>
      <c r="BA54" s="471">
        <f t="shared" si="0"/>
        <v>0</v>
      </c>
      <c r="BB54" s="471">
        <f t="shared" si="1"/>
        <v>0</v>
      </c>
    </row>
    <row r="55" spans="1:54" ht="17.25">
      <c r="A55" s="387" t="s">
        <v>207</v>
      </c>
      <c r="B55" s="459"/>
      <c r="C55" s="788">
        <v>-52897</v>
      </c>
      <c r="D55" s="856">
        <v>-63165</v>
      </c>
      <c r="E55" s="758">
        <v>-4409</v>
      </c>
      <c r="F55" s="453">
        <v>464</v>
      </c>
      <c r="G55" s="453">
        <v>-43980</v>
      </c>
      <c r="H55" s="461">
        <v>38781</v>
      </c>
      <c r="I55" s="453"/>
      <c r="J55" s="453"/>
      <c r="K55" s="453">
        <v>2488</v>
      </c>
      <c r="L55" s="453">
        <v>3419</v>
      </c>
      <c r="M55" s="453"/>
      <c r="N55" s="464">
        <v>134768</v>
      </c>
      <c r="O55" s="464"/>
      <c r="P55" s="453"/>
      <c r="Q55" s="453"/>
      <c r="R55" s="469"/>
      <c r="S55" s="469">
        <v>405437</v>
      </c>
      <c r="T55" s="453">
        <v>344540</v>
      </c>
      <c r="U55" s="453">
        <v>83</v>
      </c>
      <c r="V55" s="453">
        <v>265603</v>
      </c>
      <c r="W55" s="453">
        <f>2900127-486811</f>
        <v>2413316</v>
      </c>
      <c r="X55" s="453">
        <v>1613062</v>
      </c>
      <c r="Y55" s="453">
        <v>1344243</v>
      </c>
      <c r="Z55" s="453">
        <v>-577275</v>
      </c>
      <c r="AA55" s="453"/>
      <c r="AB55" s="471"/>
      <c r="AC55" s="471">
        <f>-338930+168610</f>
        <v>-170320</v>
      </c>
      <c r="AD55" s="453">
        <v>115849</v>
      </c>
      <c r="AE55" s="453">
        <v>-69788</v>
      </c>
      <c r="AF55" s="453"/>
      <c r="AG55" s="453">
        <v>14562830</v>
      </c>
      <c r="AH55" s="453">
        <v>15564824</v>
      </c>
      <c r="AI55" s="453">
        <v>322422</v>
      </c>
      <c r="AJ55" s="453">
        <v>-136429</v>
      </c>
      <c r="AK55" s="453">
        <v>9354</v>
      </c>
      <c r="AL55" s="453">
        <v>582475</v>
      </c>
      <c r="AM55" s="453">
        <v>140611</v>
      </c>
      <c r="AN55" s="473">
        <v>99618</v>
      </c>
      <c r="AO55" s="473">
        <v>2306</v>
      </c>
      <c r="AP55" s="474"/>
      <c r="AQ55" s="474">
        <v>23292</v>
      </c>
      <c r="AR55" s="477">
        <v>13260</v>
      </c>
      <c r="AS55" s="477">
        <v>74714</v>
      </c>
      <c r="AT55" s="471">
        <v>479520</v>
      </c>
      <c r="AU55" s="471">
        <v>213715</v>
      </c>
      <c r="AV55" s="453">
        <v>-230820</v>
      </c>
      <c r="AW55" s="453">
        <f t="shared" si="10"/>
        <v>19173417</v>
      </c>
      <c r="AX55" s="453">
        <f t="shared" si="11"/>
        <v>18248494</v>
      </c>
      <c r="AY55" s="454"/>
      <c r="AZ55" s="453"/>
      <c r="BA55" s="471">
        <f t="shared" si="0"/>
        <v>19173417</v>
      </c>
      <c r="BB55" s="471">
        <f t="shared" si="1"/>
        <v>18248494</v>
      </c>
    </row>
    <row r="56" spans="1:54" ht="17.25">
      <c r="A56" s="387" t="s">
        <v>258</v>
      </c>
      <c r="B56" s="459"/>
      <c r="C56" s="788"/>
      <c r="D56" s="856"/>
      <c r="E56" s="758"/>
      <c r="F56" s="453"/>
      <c r="G56" s="453"/>
      <c r="H56" s="461"/>
      <c r="I56" s="453"/>
      <c r="J56" s="453"/>
      <c r="K56" s="453"/>
      <c r="L56" s="453"/>
      <c r="M56" s="453"/>
      <c r="N56" s="464"/>
      <c r="O56" s="464"/>
      <c r="P56" s="453"/>
      <c r="Q56" s="453"/>
      <c r="R56" s="469"/>
      <c r="S56" s="469"/>
      <c r="T56" s="453"/>
      <c r="U56" s="453"/>
      <c r="V56" s="453"/>
      <c r="W56" s="453"/>
      <c r="X56" s="453"/>
      <c r="Y56" s="453"/>
      <c r="Z56" s="453"/>
      <c r="AA56" s="453"/>
      <c r="AB56" s="471"/>
      <c r="AC56" s="471"/>
      <c r="AD56" s="453"/>
      <c r="AE56" s="453">
        <v>181920</v>
      </c>
      <c r="AF56" s="453">
        <v>208804</v>
      </c>
      <c r="AG56" s="453"/>
      <c r="AH56" s="453"/>
      <c r="AI56" s="453">
        <v>140852</v>
      </c>
      <c r="AJ56" s="453">
        <v>395505</v>
      </c>
      <c r="AK56" s="453"/>
      <c r="AL56" s="453"/>
      <c r="AM56" s="453"/>
      <c r="AN56" s="473"/>
      <c r="AO56" s="473"/>
      <c r="AP56" s="474"/>
      <c r="AQ56" s="474"/>
      <c r="AR56" s="477"/>
      <c r="AS56" s="477"/>
      <c r="AT56" s="471"/>
      <c r="AU56" s="471"/>
      <c r="AV56" s="453"/>
      <c r="AW56" s="453">
        <f t="shared" si="10"/>
        <v>322772</v>
      </c>
      <c r="AX56" s="453">
        <f t="shared" si="11"/>
        <v>604309</v>
      </c>
      <c r="AY56" s="454"/>
      <c r="AZ56" s="453"/>
      <c r="BA56" s="471">
        <f t="shared" si="0"/>
        <v>322772</v>
      </c>
      <c r="BB56" s="471">
        <f t="shared" si="1"/>
        <v>604309</v>
      </c>
    </row>
    <row r="57" spans="1:54" s="873" customFormat="1" ht="18">
      <c r="A57" s="874" t="s">
        <v>208</v>
      </c>
      <c r="B57" s="875"/>
      <c r="C57" s="876">
        <v>3455923</v>
      </c>
      <c r="D57" s="877">
        <v>3286720</v>
      </c>
      <c r="E57" s="878">
        <v>-641206</v>
      </c>
      <c r="F57" s="879">
        <v>-697325</v>
      </c>
      <c r="G57" s="879">
        <v>39580</v>
      </c>
      <c r="H57" s="880">
        <v>265674</v>
      </c>
      <c r="I57" s="879">
        <v>2126602</v>
      </c>
      <c r="J57" s="879">
        <v>723005</v>
      </c>
      <c r="K57" s="879">
        <v>-582128</v>
      </c>
      <c r="L57" s="879">
        <v>1462240</v>
      </c>
      <c r="M57" s="879"/>
      <c r="N57" s="881">
        <v>774498</v>
      </c>
      <c r="O57" s="881"/>
      <c r="P57" s="879">
        <v>1829414</v>
      </c>
      <c r="Q57" s="879"/>
      <c r="R57" s="882"/>
      <c r="S57" s="882">
        <v>874518</v>
      </c>
      <c r="T57" s="879">
        <v>1241885</v>
      </c>
      <c r="U57" s="879">
        <v>86055</v>
      </c>
      <c r="V57" s="879">
        <v>320155</v>
      </c>
      <c r="W57" s="879">
        <v>9595791</v>
      </c>
      <c r="X57" s="879">
        <v>9476456</v>
      </c>
      <c r="Y57" s="879">
        <v>13420678</v>
      </c>
      <c r="Z57" s="879">
        <v>10738167</v>
      </c>
      <c r="AA57" s="879">
        <f>AA52</f>
        <v>84503</v>
      </c>
      <c r="AB57" s="883">
        <f>AB52</f>
        <v>177521</v>
      </c>
      <c r="AC57" s="883">
        <v>52969</v>
      </c>
      <c r="AD57" s="879">
        <v>744569</v>
      </c>
      <c r="AE57" s="879">
        <v>1578986</v>
      </c>
      <c r="AF57" s="879">
        <f>AF45</f>
        <v>2239364</v>
      </c>
      <c r="AG57" s="879"/>
      <c r="AH57" s="879"/>
      <c r="AI57" s="879">
        <v>556397</v>
      </c>
      <c r="AJ57" s="879">
        <v>405960</v>
      </c>
      <c r="AK57" s="879">
        <v>802155</v>
      </c>
      <c r="AL57" s="879">
        <v>1393660</v>
      </c>
      <c r="AM57" s="879">
        <v>195975</v>
      </c>
      <c r="AN57" s="884">
        <v>171941</v>
      </c>
      <c r="AO57" s="884">
        <v>6643505</v>
      </c>
      <c r="AP57" s="885">
        <v>6543634</v>
      </c>
      <c r="AQ57" s="885">
        <v>452698</v>
      </c>
      <c r="AR57" s="886">
        <v>584135</v>
      </c>
      <c r="AS57" s="886">
        <v>508049</v>
      </c>
      <c r="AT57" s="883">
        <v>1082121</v>
      </c>
      <c r="AU57" s="883">
        <v>1216995</v>
      </c>
      <c r="AV57" s="879">
        <v>792826</v>
      </c>
      <c r="AW57" s="879">
        <f t="shared" si="10"/>
        <v>40468045</v>
      </c>
      <c r="AX57" s="879">
        <f t="shared" si="11"/>
        <v>43556620</v>
      </c>
      <c r="AY57" s="879">
        <f>AY52</f>
        <v>24970348</v>
      </c>
      <c r="AZ57" s="879">
        <f>AZ52</f>
        <v>22003336</v>
      </c>
      <c r="BA57" s="883">
        <f t="shared" si="0"/>
        <v>65438393</v>
      </c>
      <c r="BB57" s="883">
        <f t="shared" si="1"/>
        <v>65559956</v>
      </c>
    </row>
    <row r="58" spans="1:54" ht="17.25">
      <c r="A58" s="387" t="s">
        <v>209</v>
      </c>
      <c r="B58" s="459"/>
      <c r="C58" s="788">
        <v>8570</v>
      </c>
      <c r="D58" s="856">
        <v>13448</v>
      </c>
      <c r="E58" s="759">
        <v>2408</v>
      </c>
      <c r="F58" s="454">
        <v>2835</v>
      </c>
      <c r="G58" s="454">
        <v>1261</v>
      </c>
      <c r="H58" s="462">
        <v>3919</v>
      </c>
      <c r="I58" s="454"/>
      <c r="J58" s="454"/>
      <c r="K58" s="454"/>
      <c r="L58" s="454"/>
      <c r="M58" s="454"/>
      <c r="N58" s="465">
        <v>4925</v>
      </c>
      <c r="O58" s="465"/>
      <c r="P58" s="454">
        <v>91</v>
      </c>
      <c r="Q58" s="454">
        <v>124</v>
      </c>
      <c r="R58" s="136">
        <v>170</v>
      </c>
      <c r="S58" s="136"/>
      <c r="T58" s="454"/>
      <c r="U58" s="454">
        <v>1263</v>
      </c>
      <c r="V58" s="454">
        <f>1157+3336</f>
        <v>4493</v>
      </c>
      <c r="W58" s="454">
        <f>78084+572636</f>
        <v>650720</v>
      </c>
      <c r="X58" s="454">
        <f>152348+1429825</f>
        <v>1582173</v>
      </c>
      <c r="Y58" s="454">
        <v>187411</v>
      </c>
      <c r="Z58" s="454">
        <v>334664</v>
      </c>
      <c r="AA58" s="454"/>
      <c r="AB58" s="470"/>
      <c r="AC58" s="470"/>
      <c r="AD58" s="454"/>
      <c r="AE58" s="454">
        <v>119022</v>
      </c>
      <c r="AF58" s="472">
        <v>208408</v>
      </c>
      <c r="AG58" s="472">
        <v>3697</v>
      </c>
      <c r="AH58" s="454">
        <v>6920</v>
      </c>
      <c r="AI58" s="454">
        <v>9498</v>
      </c>
      <c r="AJ58" s="454">
        <v>16813</v>
      </c>
      <c r="AK58" s="454">
        <v>9496</v>
      </c>
      <c r="AL58" s="454">
        <v>7334</v>
      </c>
      <c r="AM58" s="454"/>
      <c r="AN58" s="473"/>
      <c r="AO58" s="473">
        <v>73725</v>
      </c>
      <c r="AP58" s="474">
        <v>240566</v>
      </c>
      <c r="AQ58" s="474">
        <v>11812</v>
      </c>
      <c r="AR58" s="477">
        <v>16411</v>
      </c>
      <c r="AS58" s="477">
        <v>926</v>
      </c>
      <c r="AT58" s="453">
        <v>1157</v>
      </c>
      <c r="AU58" s="453"/>
      <c r="AV58" s="454"/>
      <c r="AW58" s="453">
        <f t="shared" si="10"/>
        <v>1079933</v>
      </c>
      <c r="AX58" s="453">
        <f t="shared" si="11"/>
        <v>2444327</v>
      </c>
      <c r="AY58" s="454"/>
      <c r="AZ58" s="454"/>
      <c r="BA58" s="471">
        <f t="shared" si="0"/>
        <v>1079933</v>
      </c>
      <c r="BB58" s="471">
        <f t="shared" si="1"/>
        <v>2444327</v>
      </c>
    </row>
    <row r="59" spans="1:54" ht="17.25">
      <c r="A59" s="387" t="s">
        <v>210</v>
      </c>
      <c r="B59" s="459"/>
      <c r="C59" s="788">
        <v>878208</v>
      </c>
      <c r="D59" s="856">
        <v>1240842</v>
      </c>
      <c r="E59" s="758">
        <v>314734</v>
      </c>
      <c r="F59" s="453">
        <v>241810</v>
      </c>
      <c r="G59" s="453">
        <v>27325</v>
      </c>
      <c r="H59" s="461">
        <v>33353</v>
      </c>
      <c r="I59" s="453"/>
      <c r="J59" s="453"/>
      <c r="K59" s="453">
        <v>301805</v>
      </c>
      <c r="L59" s="453">
        <v>454952</v>
      </c>
      <c r="M59" s="453"/>
      <c r="N59" s="464">
        <v>159223</v>
      </c>
      <c r="O59" s="464"/>
      <c r="P59" s="453">
        <v>58156</v>
      </c>
      <c r="Q59" s="453">
        <v>46356</v>
      </c>
      <c r="R59" s="469">
        <v>66673</v>
      </c>
      <c r="S59" s="469"/>
      <c r="T59" s="453"/>
      <c r="U59" s="453">
        <v>309451</v>
      </c>
      <c r="V59" s="453">
        <v>432487</v>
      </c>
      <c r="W59" s="453">
        <v>5570774</v>
      </c>
      <c r="X59" s="453">
        <v>5918023</v>
      </c>
      <c r="Y59" s="453">
        <v>3221194</v>
      </c>
      <c r="Z59" s="453">
        <v>3513464</v>
      </c>
      <c r="AA59" s="453"/>
      <c r="AB59" s="471"/>
      <c r="AC59" s="471"/>
      <c r="AD59" s="453"/>
      <c r="AE59" s="453">
        <v>968037</v>
      </c>
      <c r="AF59" s="453">
        <v>1336777</v>
      </c>
      <c r="AG59" s="453">
        <v>7659263</v>
      </c>
      <c r="AH59" s="453">
        <v>8536262</v>
      </c>
      <c r="AI59" s="453">
        <v>838110</v>
      </c>
      <c r="AJ59" s="453">
        <v>1321954</v>
      </c>
      <c r="AK59" s="453">
        <v>1349319</v>
      </c>
      <c r="AL59" s="453">
        <v>1434613</v>
      </c>
      <c r="AM59" s="453">
        <v>162782</v>
      </c>
      <c r="AN59" s="473">
        <v>165055</v>
      </c>
      <c r="AO59" s="473">
        <v>6221901</v>
      </c>
      <c r="AP59" s="443">
        <v>7407795</v>
      </c>
      <c r="AQ59" s="443">
        <v>529325</v>
      </c>
      <c r="AR59" s="477">
        <v>594686</v>
      </c>
      <c r="AS59" s="477">
        <v>210230</v>
      </c>
      <c r="AT59" s="471">
        <v>207972</v>
      </c>
      <c r="AU59" s="471">
        <v>2527290</v>
      </c>
      <c r="AV59" s="453">
        <v>3614338</v>
      </c>
      <c r="AW59" s="453">
        <f t="shared" si="10"/>
        <v>31136104</v>
      </c>
      <c r="AX59" s="453">
        <f t="shared" si="11"/>
        <v>36738435</v>
      </c>
      <c r="AY59" s="454"/>
      <c r="AZ59" s="453"/>
      <c r="BA59" s="471">
        <f t="shared" si="0"/>
        <v>31136104</v>
      </c>
      <c r="BB59" s="471">
        <f t="shared" si="1"/>
        <v>36738435</v>
      </c>
    </row>
    <row r="60" spans="1:54" ht="18" thickBot="1">
      <c r="A60" s="668" t="s">
        <v>211</v>
      </c>
      <c r="B60" s="669"/>
      <c r="C60" s="858">
        <v>3455923</v>
      </c>
      <c r="D60" s="859">
        <v>3286720</v>
      </c>
      <c r="E60" s="760">
        <v>-641206</v>
      </c>
      <c r="F60" s="670">
        <v>-697325</v>
      </c>
      <c r="G60" s="670">
        <v>39579</v>
      </c>
      <c r="H60" s="671">
        <v>265674</v>
      </c>
      <c r="I60" s="670">
        <v>2126602</v>
      </c>
      <c r="J60" s="670">
        <v>723005</v>
      </c>
      <c r="K60" s="670"/>
      <c r="L60" s="670"/>
      <c r="M60" s="670"/>
      <c r="N60" s="672">
        <v>774498</v>
      </c>
      <c r="O60" s="672"/>
      <c r="P60" s="670">
        <v>1829414</v>
      </c>
      <c r="Q60" s="670"/>
      <c r="R60" s="673"/>
      <c r="S60" s="673"/>
      <c r="T60" s="670"/>
      <c r="U60" s="670">
        <v>86055</v>
      </c>
      <c r="V60" s="670">
        <v>320155</v>
      </c>
      <c r="W60" s="670">
        <v>9595791</v>
      </c>
      <c r="X60" s="670">
        <v>9476456</v>
      </c>
      <c r="Y60" s="670">
        <v>13420678</v>
      </c>
      <c r="Z60" s="670">
        <v>10738167</v>
      </c>
      <c r="AA60" s="670"/>
      <c r="AB60" s="674"/>
      <c r="AC60" s="674"/>
      <c r="AD60" s="670"/>
      <c r="AE60" s="670">
        <v>181920</v>
      </c>
      <c r="AF60" s="670">
        <v>208804</v>
      </c>
      <c r="AG60" s="670">
        <v>17911067</v>
      </c>
      <c r="AH60" s="670">
        <v>21115984</v>
      </c>
      <c r="AI60" s="670">
        <v>556397</v>
      </c>
      <c r="AJ60" s="670">
        <v>405960</v>
      </c>
      <c r="AK60" s="670">
        <v>802155</v>
      </c>
      <c r="AL60" s="670">
        <v>1393660</v>
      </c>
      <c r="AM60" s="670">
        <v>140611</v>
      </c>
      <c r="AN60" s="675">
        <v>99618</v>
      </c>
      <c r="AO60" s="675">
        <v>6643505</v>
      </c>
      <c r="AP60" s="676">
        <v>6543634</v>
      </c>
      <c r="AQ60" s="676">
        <v>431960</v>
      </c>
      <c r="AR60" s="677">
        <v>560843</v>
      </c>
      <c r="AS60" s="677">
        <v>210966</v>
      </c>
      <c r="AT60" s="674">
        <v>1008983</v>
      </c>
      <c r="AU60" s="674">
        <v>1250313</v>
      </c>
      <c r="AV60" s="677">
        <v>804224</v>
      </c>
      <c r="AW60" s="453">
        <f t="shared" si="10"/>
        <v>56212316</v>
      </c>
      <c r="AX60" s="453">
        <f t="shared" si="11"/>
        <v>58858474</v>
      </c>
      <c r="AY60" s="678"/>
      <c r="AZ60" s="670"/>
      <c r="BA60" s="471">
        <f t="shared" si="0"/>
        <v>56212316</v>
      </c>
      <c r="BB60" s="471">
        <f t="shared" si="1"/>
        <v>58858474</v>
      </c>
    </row>
    <row r="61" spans="1:54" s="873" customFormat="1" ht="18.75" thickBot="1">
      <c r="A61" s="860" t="s">
        <v>212</v>
      </c>
      <c r="B61" s="861"/>
      <c r="C61" s="862">
        <v>4342701</v>
      </c>
      <c r="D61" s="863">
        <v>4541010</v>
      </c>
      <c r="E61" s="864">
        <v>-324064</v>
      </c>
      <c r="F61" s="865">
        <v>-452680</v>
      </c>
      <c r="G61" s="865">
        <v>68164</v>
      </c>
      <c r="H61" s="866">
        <v>302947</v>
      </c>
      <c r="I61" s="865">
        <v>2126602</v>
      </c>
      <c r="J61" s="865">
        <v>723005</v>
      </c>
      <c r="K61" s="865">
        <v>301805</v>
      </c>
      <c r="L61" s="865">
        <v>454952</v>
      </c>
      <c r="M61" s="865"/>
      <c r="N61" s="867">
        <v>938646</v>
      </c>
      <c r="O61" s="867"/>
      <c r="P61" s="865">
        <v>1887661</v>
      </c>
      <c r="Q61" s="865">
        <v>46480</v>
      </c>
      <c r="R61" s="868">
        <v>66843</v>
      </c>
      <c r="S61" s="868"/>
      <c r="T61" s="865"/>
      <c r="U61" s="865">
        <v>396769</v>
      </c>
      <c r="V61" s="865">
        <v>757135</v>
      </c>
      <c r="W61" s="865">
        <v>15817285</v>
      </c>
      <c r="X61" s="865">
        <v>16976652</v>
      </c>
      <c r="Y61" s="865">
        <v>16829283</v>
      </c>
      <c r="Z61" s="865">
        <v>14586295</v>
      </c>
      <c r="AA61" s="865"/>
      <c r="AB61" s="869"/>
      <c r="AC61" s="869"/>
      <c r="AD61" s="865"/>
      <c r="AE61" s="865">
        <v>1268979</v>
      </c>
      <c r="AF61" s="865">
        <v>1753989</v>
      </c>
      <c r="AG61" s="865">
        <v>25574027</v>
      </c>
      <c r="AH61" s="865">
        <v>29659166</v>
      </c>
      <c r="AI61" s="865">
        <v>1404005</v>
      </c>
      <c r="AJ61" s="865">
        <v>1744727</v>
      </c>
      <c r="AK61" s="865">
        <v>2160970</v>
      </c>
      <c r="AL61" s="865">
        <v>2835607</v>
      </c>
      <c r="AM61" s="865">
        <v>303393</v>
      </c>
      <c r="AN61" s="870">
        <v>264673</v>
      </c>
      <c r="AO61" s="870">
        <v>12939130</v>
      </c>
      <c r="AP61" s="871">
        <v>14191996</v>
      </c>
      <c r="AQ61" s="871">
        <v>973097</v>
      </c>
      <c r="AR61" s="872">
        <v>1171939</v>
      </c>
      <c r="AS61" s="872">
        <v>422122</v>
      </c>
      <c r="AT61" s="869">
        <v>1218112</v>
      </c>
      <c r="AU61" s="869">
        <v>3777603</v>
      </c>
      <c r="AV61" s="865">
        <v>4418562</v>
      </c>
      <c r="AW61" s="879">
        <f t="shared" si="10"/>
        <v>88428351</v>
      </c>
      <c r="AX61" s="879">
        <f t="shared" si="11"/>
        <v>98041237</v>
      </c>
      <c r="AY61" s="865"/>
      <c r="AZ61" s="865"/>
      <c r="BA61" s="883">
        <f t="shared" si="0"/>
        <v>88428351</v>
      </c>
      <c r="BB61" s="883">
        <f t="shared" si="1"/>
        <v>98041237</v>
      </c>
    </row>
  </sheetData>
  <sheetProtection/>
  <mergeCells count="28">
    <mergeCell ref="A1:BB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8" sqref="E18"/>
    </sheetView>
  </sheetViews>
  <sheetFormatPr defaultColWidth="9.140625" defaultRowHeight="15"/>
  <cols>
    <col min="1" max="1" width="69.00390625" style="103" customWidth="1"/>
    <col min="2" max="3" width="13.28125" style="103" customWidth="1"/>
    <col min="4" max="19" width="12.421875" style="103" bestFit="1" customWidth="1"/>
    <col min="20" max="20" width="10.28125" style="103" customWidth="1"/>
    <col min="21" max="21" width="10.7109375" style="103" customWidth="1"/>
    <col min="22" max="53" width="12.421875" style="103" bestFit="1" customWidth="1"/>
    <col min="54" max="16384" width="9.140625" style="103" customWidth="1"/>
  </cols>
  <sheetData>
    <row r="1" spans="1:51" s="819" customFormat="1" ht="14.25">
      <c r="A1" s="1092" t="s">
        <v>243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  <c r="AH1" s="1092"/>
      <c r="AI1" s="1092"/>
      <c r="AJ1" s="1092"/>
      <c r="AK1" s="1092"/>
      <c r="AL1" s="1092"/>
      <c r="AM1" s="1092"/>
      <c r="AN1" s="1092"/>
      <c r="AO1" s="1092"/>
      <c r="AP1" s="1092"/>
      <c r="AQ1" s="1092"/>
      <c r="AR1" s="1092"/>
      <c r="AS1" s="1092"/>
      <c r="AT1" s="1092"/>
      <c r="AU1" s="1092"/>
      <c r="AV1" s="1092"/>
      <c r="AW1" s="1092"/>
      <c r="AX1" s="1092"/>
      <c r="AY1" s="1092"/>
    </row>
    <row r="2" spans="1:51" ht="14.25" thickBot="1">
      <c r="A2" s="1032" t="s">
        <v>115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1032"/>
      <c r="AN2" s="1032"/>
      <c r="AO2" s="1032"/>
      <c r="AP2" s="1032"/>
      <c r="AQ2" s="1032"/>
      <c r="AR2" s="1032"/>
      <c r="AS2" s="1032"/>
      <c r="AT2" s="1032"/>
      <c r="AU2" s="1032"/>
      <c r="AV2" s="1032"/>
      <c r="AW2" s="1032"/>
      <c r="AX2" s="1032"/>
      <c r="AY2" s="1032"/>
    </row>
    <row r="3" spans="1:53" s="755" customFormat="1" ht="42.75" customHeight="1" thickBot="1">
      <c r="A3" s="1093" t="s">
        <v>0</v>
      </c>
      <c r="B3" s="1095" t="s">
        <v>117</v>
      </c>
      <c r="C3" s="1096"/>
      <c r="D3" s="1095" t="s">
        <v>118</v>
      </c>
      <c r="E3" s="1099"/>
      <c r="F3" s="1095" t="s">
        <v>119</v>
      </c>
      <c r="G3" s="1096"/>
      <c r="H3" s="1102" t="s">
        <v>120</v>
      </c>
      <c r="I3" s="1103"/>
      <c r="J3" s="1099" t="s">
        <v>121</v>
      </c>
      <c r="K3" s="1099"/>
      <c r="L3" s="1095" t="s">
        <v>122</v>
      </c>
      <c r="M3" s="1096"/>
      <c r="N3" s="1095" t="s">
        <v>123</v>
      </c>
      <c r="O3" s="1099"/>
      <c r="P3" s="1095" t="s">
        <v>124</v>
      </c>
      <c r="Q3" s="1096"/>
      <c r="R3" s="1095" t="s">
        <v>125</v>
      </c>
      <c r="S3" s="1096"/>
      <c r="T3" s="1095" t="s">
        <v>126</v>
      </c>
      <c r="U3" s="1096"/>
      <c r="V3" s="1099" t="s">
        <v>127</v>
      </c>
      <c r="W3" s="1096"/>
      <c r="X3" s="1095" t="s">
        <v>128</v>
      </c>
      <c r="Y3" s="1096"/>
      <c r="Z3" s="1095" t="s">
        <v>129</v>
      </c>
      <c r="AA3" s="1096"/>
      <c r="AB3" s="1095" t="s">
        <v>130</v>
      </c>
      <c r="AC3" s="1096"/>
      <c r="AD3" s="1097" t="s">
        <v>131</v>
      </c>
      <c r="AE3" s="1098"/>
      <c r="AF3" s="1095" t="s">
        <v>132</v>
      </c>
      <c r="AG3" s="1096"/>
      <c r="AH3" s="1095" t="s">
        <v>133</v>
      </c>
      <c r="AI3" s="1096"/>
      <c r="AJ3" s="1095" t="s">
        <v>134</v>
      </c>
      <c r="AK3" s="1096"/>
      <c r="AL3" s="1097" t="s">
        <v>135</v>
      </c>
      <c r="AM3" s="1098"/>
      <c r="AN3" s="1095" t="s">
        <v>136</v>
      </c>
      <c r="AO3" s="1096"/>
      <c r="AP3" s="1095" t="s">
        <v>137</v>
      </c>
      <c r="AQ3" s="1096"/>
      <c r="AR3" s="1095" t="s">
        <v>138</v>
      </c>
      <c r="AS3" s="1096"/>
      <c r="AT3" s="1099" t="s">
        <v>139</v>
      </c>
      <c r="AU3" s="1096"/>
      <c r="AV3" s="1095" t="s">
        <v>1</v>
      </c>
      <c r="AW3" s="1096"/>
      <c r="AX3" s="1097" t="s">
        <v>140</v>
      </c>
      <c r="AY3" s="1098"/>
      <c r="AZ3" s="1100" t="s">
        <v>2</v>
      </c>
      <c r="BA3" s="1101"/>
    </row>
    <row r="4" spans="1:53" s="402" customFormat="1" ht="15" thickBot="1">
      <c r="A4" s="1094"/>
      <c r="B4" s="398" t="s">
        <v>253</v>
      </c>
      <c r="C4" s="399" t="s">
        <v>254</v>
      </c>
      <c r="D4" s="398" t="s">
        <v>253</v>
      </c>
      <c r="E4" s="400" t="s">
        <v>254</v>
      </c>
      <c r="F4" s="397" t="s">
        <v>253</v>
      </c>
      <c r="G4" s="399" t="s">
        <v>254</v>
      </c>
      <c r="H4" s="398" t="s">
        <v>253</v>
      </c>
      <c r="I4" s="399" t="s">
        <v>254</v>
      </c>
      <c r="J4" s="398" t="s">
        <v>253</v>
      </c>
      <c r="K4" s="400" t="s">
        <v>254</v>
      </c>
      <c r="L4" s="397" t="s">
        <v>253</v>
      </c>
      <c r="M4" s="399" t="s">
        <v>254</v>
      </c>
      <c r="N4" s="398" t="s">
        <v>253</v>
      </c>
      <c r="O4" s="400" t="s">
        <v>254</v>
      </c>
      <c r="P4" s="397" t="s">
        <v>253</v>
      </c>
      <c r="Q4" s="399" t="s">
        <v>254</v>
      </c>
      <c r="R4" s="398" t="s">
        <v>253</v>
      </c>
      <c r="S4" s="399" t="s">
        <v>254</v>
      </c>
      <c r="T4" s="397" t="s">
        <v>253</v>
      </c>
      <c r="U4" s="399" t="s">
        <v>254</v>
      </c>
      <c r="V4" s="401" t="s">
        <v>253</v>
      </c>
      <c r="W4" s="399" t="s">
        <v>254</v>
      </c>
      <c r="X4" s="398" t="s">
        <v>253</v>
      </c>
      <c r="Y4" s="399" t="s">
        <v>254</v>
      </c>
      <c r="Z4" s="398" t="s">
        <v>253</v>
      </c>
      <c r="AA4" s="399" t="s">
        <v>254</v>
      </c>
      <c r="AB4" s="398" t="s">
        <v>253</v>
      </c>
      <c r="AC4" s="399" t="s">
        <v>254</v>
      </c>
      <c r="AD4" s="398" t="s">
        <v>253</v>
      </c>
      <c r="AE4" s="399" t="s">
        <v>254</v>
      </c>
      <c r="AF4" s="398" t="s">
        <v>253</v>
      </c>
      <c r="AG4" s="399" t="s">
        <v>254</v>
      </c>
      <c r="AH4" s="398" t="s">
        <v>253</v>
      </c>
      <c r="AI4" s="399" t="s">
        <v>254</v>
      </c>
      <c r="AJ4" s="398" t="s">
        <v>253</v>
      </c>
      <c r="AK4" s="399" t="s">
        <v>254</v>
      </c>
      <c r="AL4" s="398" t="s">
        <v>253</v>
      </c>
      <c r="AM4" s="399" t="s">
        <v>254</v>
      </c>
      <c r="AN4" s="398" t="s">
        <v>253</v>
      </c>
      <c r="AO4" s="399" t="s">
        <v>254</v>
      </c>
      <c r="AP4" s="398" t="s">
        <v>253</v>
      </c>
      <c r="AQ4" s="399" t="s">
        <v>254</v>
      </c>
      <c r="AR4" s="398" t="s">
        <v>253</v>
      </c>
      <c r="AS4" s="399" t="s">
        <v>254</v>
      </c>
      <c r="AT4" s="398" t="s">
        <v>253</v>
      </c>
      <c r="AU4" s="399" t="s">
        <v>254</v>
      </c>
      <c r="AV4" s="398" t="s">
        <v>253</v>
      </c>
      <c r="AW4" s="399" t="s">
        <v>254</v>
      </c>
      <c r="AX4" s="398" t="s">
        <v>253</v>
      </c>
      <c r="AY4" s="399" t="s">
        <v>254</v>
      </c>
      <c r="AZ4" s="398" t="s">
        <v>253</v>
      </c>
      <c r="BA4" s="399" t="s">
        <v>254</v>
      </c>
    </row>
    <row r="5" spans="1:53" s="106" customFormat="1" ht="15" customHeight="1">
      <c r="A5" s="113" t="s">
        <v>3</v>
      </c>
      <c r="B5" s="318">
        <v>15</v>
      </c>
      <c r="C5" s="319">
        <v>20.76</v>
      </c>
      <c r="D5" s="318"/>
      <c r="E5" s="320"/>
      <c r="F5" s="317">
        <v>2.28</v>
      </c>
      <c r="G5" s="319">
        <v>1.07</v>
      </c>
      <c r="H5" s="318">
        <v>10</v>
      </c>
      <c r="I5" s="319">
        <v>3</v>
      </c>
      <c r="J5" s="318"/>
      <c r="K5" s="320"/>
      <c r="L5" s="317"/>
      <c r="M5" s="319"/>
      <c r="N5" s="318"/>
      <c r="O5" s="320"/>
      <c r="P5" s="317">
        <v>7.68</v>
      </c>
      <c r="Q5" s="319">
        <v>12.51</v>
      </c>
      <c r="R5" s="318"/>
      <c r="S5" s="319"/>
      <c r="T5" s="317">
        <v>1.14</v>
      </c>
      <c r="U5" s="319">
        <v>0.65</v>
      </c>
      <c r="V5" s="321">
        <v>1.03</v>
      </c>
      <c r="W5" s="319">
        <v>0.75</v>
      </c>
      <c r="X5" s="318">
        <v>6.2</v>
      </c>
      <c r="Y5" s="319">
        <v>2.1</v>
      </c>
      <c r="Z5" s="318">
        <v>0.12</v>
      </c>
      <c r="AA5" s="319">
        <v>0.63</v>
      </c>
      <c r="AB5" s="361"/>
      <c r="AC5" s="362"/>
      <c r="AD5" s="318"/>
      <c r="AE5" s="320">
        <v>1.63</v>
      </c>
      <c r="AF5" s="318">
        <v>1</v>
      </c>
      <c r="AG5" s="319">
        <v>1</v>
      </c>
      <c r="AH5" s="318">
        <v>0.49</v>
      </c>
      <c r="AI5" s="319">
        <v>0.26</v>
      </c>
      <c r="AJ5" s="318">
        <v>0.09</v>
      </c>
      <c r="AK5" s="319">
        <v>0.25</v>
      </c>
      <c r="AL5" s="318"/>
      <c r="AM5" s="319"/>
      <c r="AN5" s="98">
        <v>72</v>
      </c>
      <c r="AO5" s="99">
        <v>59</v>
      </c>
      <c r="AP5" s="318"/>
      <c r="AQ5" s="319"/>
      <c r="AR5" s="318">
        <v>0.02</v>
      </c>
      <c r="AS5" s="319">
        <v>0.04</v>
      </c>
      <c r="AT5" s="318">
        <v>1.95</v>
      </c>
      <c r="AU5" s="319">
        <v>2.14</v>
      </c>
      <c r="AV5" s="314">
        <f aca="true" t="shared" si="0" ref="AV5:AV14">SUM(B5+D5+F5+H5+J5+L5+N5+P5+R5+T5+V5+X5+Z5+P5+AD5+AF5+AH5+AJ5+AL5+AN5+AP5+AR5+AT5)</f>
        <v>126.68</v>
      </c>
      <c r="AW5" s="604">
        <f aca="true" t="shared" si="1" ref="AW5:AW14">SUM(C5+E5+G5+I5+K5+M5+O5+Q5+S5+U5+W5+Y5+AA5+Q5+AE5+AG5+AI5+AK5+AM5+AO5+AQ5+AS5+AU5)</f>
        <v>118.30000000000001</v>
      </c>
      <c r="AX5" s="318">
        <v>1240.23</v>
      </c>
      <c r="AY5" s="319">
        <v>1413.42</v>
      </c>
      <c r="AZ5" s="315">
        <f aca="true" t="shared" si="2" ref="AZ5:AZ14">AV5+AX5</f>
        <v>1366.91</v>
      </c>
      <c r="BA5" s="316">
        <f aca="true" t="shared" si="3" ref="BA5:BA14">AW5+AY5</f>
        <v>1531.72</v>
      </c>
    </row>
    <row r="6" spans="1:53" s="106" customFormat="1" ht="13.5">
      <c r="A6" s="113" t="s">
        <v>4</v>
      </c>
      <c r="B6" s="43">
        <v>5.2</v>
      </c>
      <c r="C6" s="105">
        <v>3.34</v>
      </c>
      <c r="D6" s="6"/>
      <c r="E6" s="107"/>
      <c r="F6" s="5">
        <v>0.66</v>
      </c>
      <c r="G6" s="7">
        <v>0.51</v>
      </c>
      <c r="H6" s="6">
        <v>4</v>
      </c>
      <c r="I6" s="7">
        <v>2</v>
      </c>
      <c r="J6" s="6"/>
      <c r="K6" s="107"/>
      <c r="L6" s="5">
        <v>29.86</v>
      </c>
      <c r="M6" s="7">
        <v>22.9</v>
      </c>
      <c r="N6" s="6"/>
      <c r="O6" s="107">
        <v>0.16</v>
      </c>
      <c r="P6" s="5"/>
      <c r="Q6" s="7"/>
      <c r="R6" s="6"/>
      <c r="S6" s="7"/>
      <c r="T6" s="5"/>
      <c r="U6" s="7"/>
      <c r="V6" s="36">
        <v>22.24</v>
      </c>
      <c r="W6" s="7">
        <v>43.72</v>
      </c>
      <c r="X6" s="6">
        <v>0.1</v>
      </c>
      <c r="Y6" s="7">
        <v>14.9</v>
      </c>
      <c r="Z6" s="100">
        <v>23.96</v>
      </c>
      <c r="AA6" s="609">
        <v>60.77</v>
      </c>
      <c r="AB6" s="359">
        <v>57.9</v>
      </c>
      <c r="AC6" s="360">
        <v>83.41</v>
      </c>
      <c r="AD6" s="6">
        <v>1.94</v>
      </c>
      <c r="AE6" s="107">
        <v>5.53</v>
      </c>
      <c r="AF6" s="6">
        <v>224</v>
      </c>
      <c r="AG6" s="7">
        <v>263</v>
      </c>
      <c r="AH6" s="6">
        <v>40.01</v>
      </c>
      <c r="AI6" s="7">
        <v>66.92</v>
      </c>
      <c r="AJ6" s="6"/>
      <c r="AK6" s="7"/>
      <c r="AL6" s="6"/>
      <c r="AM6" s="7"/>
      <c r="AN6" s="98">
        <v>844</v>
      </c>
      <c r="AO6" s="99">
        <v>1194</v>
      </c>
      <c r="AP6" s="108"/>
      <c r="AQ6" s="109"/>
      <c r="AR6" s="110">
        <v>106.76</v>
      </c>
      <c r="AS6" s="111">
        <v>31.43</v>
      </c>
      <c r="AT6" s="6">
        <v>0.06</v>
      </c>
      <c r="AU6" s="7">
        <v>0.1</v>
      </c>
      <c r="AV6" s="314">
        <f t="shared" si="0"/>
        <v>1302.79</v>
      </c>
      <c r="AW6" s="604">
        <f t="shared" si="1"/>
        <v>1709.28</v>
      </c>
      <c r="AX6" s="110">
        <v>0.82</v>
      </c>
      <c r="AY6" s="111">
        <v>6.11</v>
      </c>
      <c r="AZ6" s="43">
        <f t="shared" si="2"/>
        <v>1303.61</v>
      </c>
      <c r="BA6" s="105">
        <f t="shared" si="3"/>
        <v>1715.3899999999999</v>
      </c>
    </row>
    <row r="7" spans="1:53" s="106" customFormat="1" ht="13.5">
      <c r="A7" s="113" t="s">
        <v>5</v>
      </c>
      <c r="B7" s="43">
        <v>0.81</v>
      </c>
      <c r="C7" s="105">
        <v>9.81</v>
      </c>
      <c r="D7" s="6"/>
      <c r="E7" s="107"/>
      <c r="F7" s="5"/>
      <c r="G7" s="7"/>
      <c r="H7" s="6">
        <v>509</v>
      </c>
      <c r="I7" s="7">
        <v>197</v>
      </c>
      <c r="J7" s="6"/>
      <c r="K7" s="107"/>
      <c r="L7" s="5"/>
      <c r="M7" s="7"/>
      <c r="N7" s="6">
        <v>0.05</v>
      </c>
      <c r="O7" s="107"/>
      <c r="P7" s="5"/>
      <c r="Q7" s="7"/>
      <c r="R7" s="6"/>
      <c r="S7" s="7"/>
      <c r="T7" s="5"/>
      <c r="U7" s="7"/>
      <c r="V7" s="36">
        <v>0.41</v>
      </c>
      <c r="W7" s="7">
        <v>0.24</v>
      </c>
      <c r="X7" s="6"/>
      <c r="Y7" s="7"/>
      <c r="Z7" s="100"/>
      <c r="AA7" s="609"/>
      <c r="AB7" s="359"/>
      <c r="AC7" s="360"/>
      <c r="AD7" s="6"/>
      <c r="AE7" s="107"/>
      <c r="AF7" s="6"/>
      <c r="AG7" s="7"/>
      <c r="AH7" s="6"/>
      <c r="AI7" s="7">
        <v>0.0001</v>
      </c>
      <c r="AJ7" s="6"/>
      <c r="AK7" s="7"/>
      <c r="AL7" s="6">
        <v>0.35</v>
      </c>
      <c r="AM7" s="7">
        <v>0.0002</v>
      </c>
      <c r="AN7" s="98">
        <v>2</v>
      </c>
      <c r="AO7" s="99">
        <v>15</v>
      </c>
      <c r="AP7" s="108">
        <v>143.8</v>
      </c>
      <c r="AQ7" s="109">
        <v>96</v>
      </c>
      <c r="AR7" s="110"/>
      <c r="AS7" s="111"/>
      <c r="AT7" s="6">
        <v>0.38</v>
      </c>
      <c r="AU7" s="7">
        <v>0.22</v>
      </c>
      <c r="AV7" s="314">
        <f t="shared" si="0"/>
        <v>656.8000000000001</v>
      </c>
      <c r="AW7" s="604">
        <f t="shared" si="1"/>
        <v>318.2703</v>
      </c>
      <c r="AX7" s="110">
        <v>42.39</v>
      </c>
      <c r="AY7" s="111">
        <v>4.25</v>
      </c>
      <c r="AZ7" s="43">
        <f t="shared" si="2"/>
        <v>699.19</v>
      </c>
      <c r="BA7" s="105">
        <f t="shared" si="3"/>
        <v>322.5203</v>
      </c>
    </row>
    <row r="8" spans="1:53" s="106" customFormat="1" ht="13.5">
      <c r="A8" s="113" t="s">
        <v>6</v>
      </c>
      <c r="B8" s="43">
        <v>76.32</v>
      </c>
      <c r="C8" s="105">
        <v>66.11</v>
      </c>
      <c r="D8" s="6"/>
      <c r="E8" s="107"/>
      <c r="F8" s="5">
        <v>2.35</v>
      </c>
      <c r="G8" s="7">
        <v>5.03</v>
      </c>
      <c r="H8" s="6">
        <v>44</v>
      </c>
      <c r="I8" s="7">
        <v>80</v>
      </c>
      <c r="J8" s="6"/>
      <c r="K8" s="107"/>
      <c r="L8" s="5"/>
      <c r="M8" s="7"/>
      <c r="N8" s="6">
        <v>34.62</v>
      </c>
      <c r="O8" s="107">
        <v>120.76</v>
      </c>
      <c r="P8" s="5">
        <v>1.66</v>
      </c>
      <c r="Q8" s="7">
        <v>1.21</v>
      </c>
      <c r="R8" s="6">
        <v>24.99</v>
      </c>
      <c r="S8" s="7">
        <v>30.71</v>
      </c>
      <c r="T8" s="5">
        <v>22.11</v>
      </c>
      <c r="U8" s="7">
        <v>26.36</v>
      </c>
      <c r="V8" s="36">
        <v>17.82</v>
      </c>
      <c r="W8" s="7">
        <v>72.22</v>
      </c>
      <c r="X8" s="6">
        <v>20.2</v>
      </c>
      <c r="Y8" s="7">
        <v>42.6</v>
      </c>
      <c r="Z8" s="100">
        <v>2.63</v>
      </c>
      <c r="AA8" s="609">
        <v>6.81</v>
      </c>
      <c r="AB8" s="359">
        <v>73.17</v>
      </c>
      <c r="AC8" s="360">
        <v>0.44</v>
      </c>
      <c r="AD8" s="6">
        <v>179.29</v>
      </c>
      <c r="AE8" s="107">
        <v>218.8</v>
      </c>
      <c r="AF8" s="6">
        <v>10</v>
      </c>
      <c r="AG8" s="7">
        <v>18</v>
      </c>
      <c r="AH8" s="6">
        <v>20.15</v>
      </c>
      <c r="AI8" s="7">
        <v>29.45</v>
      </c>
      <c r="AJ8" s="6">
        <v>1.84</v>
      </c>
      <c r="AK8" s="7">
        <v>1</v>
      </c>
      <c r="AL8" s="6"/>
      <c r="AM8" s="7"/>
      <c r="AN8" s="98">
        <v>7</v>
      </c>
      <c r="AO8" s="99">
        <v>31</v>
      </c>
      <c r="AP8" s="108">
        <v>22.37</v>
      </c>
      <c r="AQ8" s="109">
        <v>24</v>
      </c>
      <c r="AR8" s="110">
        <v>1.71</v>
      </c>
      <c r="AS8" s="111">
        <v>0.49</v>
      </c>
      <c r="AT8" s="6">
        <v>1.41</v>
      </c>
      <c r="AU8" s="7">
        <v>2.16</v>
      </c>
      <c r="AV8" s="314">
        <f t="shared" si="0"/>
        <v>492.12999999999994</v>
      </c>
      <c r="AW8" s="604">
        <f t="shared" si="1"/>
        <v>777.92</v>
      </c>
      <c r="AX8" s="110">
        <v>16.17</v>
      </c>
      <c r="AY8" s="111">
        <v>8.43</v>
      </c>
      <c r="AZ8" s="43">
        <f t="shared" si="2"/>
        <v>508.29999999999995</v>
      </c>
      <c r="BA8" s="105">
        <f t="shared" si="3"/>
        <v>786.3499999999999</v>
      </c>
    </row>
    <row r="9" spans="1:53" s="106" customFormat="1" ht="13.5">
      <c r="A9" s="113" t="s">
        <v>7</v>
      </c>
      <c r="B9" s="43"/>
      <c r="C9" s="105"/>
      <c r="D9" s="6"/>
      <c r="E9" s="107"/>
      <c r="F9" s="5"/>
      <c r="G9" s="7"/>
      <c r="H9" s="6"/>
      <c r="I9" s="7"/>
      <c r="J9" s="6"/>
      <c r="K9" s="107"/>
      <c r="L9" s="5"/>
      <c r="M9" s="7"/>
      <c r="N9" s="6"/>
      <c r="O9" s="107"/>
      <c r="P9" s="5"/>
      <c r="Q9" s="7"/>
      <c r="R9" s="6"/>
      <c r="S9" s="7"/>
      <c r="T9" s="5"/>
      <c r="U9" s="7"/>
      <c r="V9" s="36"/>
      <c r="W9" s="7">
        <v>2.02</v>
      </c>
      <c r="X9" s="6"/>
      <c r="Y9" s="7"/>
      <c r="Z9" s="100"/>
      <c r="AA9" s="609"/>
      <c r="AB9" s="359"/>
      <c r="AC9" s="360"/>
      <c r="AD9" s="6"/>
      <c r="AE9" s="107"/>
      <c r="AF9" s="6"/>
      <c r="AG9" s="7"/>
      <c r="AH9" s="6"/>
      <c r="AI9" s="7"/>
      <c r="AJ9" s="6"/>
      <c r="AK9" s="7"/>
      <c r="AL9" s="6"/>
      <c r="AM9" s="7"/>
      <c r="AN9" s="101"/>
      <c r="AO9" s="102"/>
      <c r="AP9" s="108"/>
      <c r="AQ9" s="109"/>
      <c r="AR9" s="110"/>
      <c r="AS9" s="111"/>
      <c r="AT9" s="6"/>
      <c r="AU9" s="7"/>
      <c r="AV9" s="314">
        <f t="shared" si="0"/>
        <v>0</v>
      </c>
      <c r="AW9" s="604">
        <f t="shared" si="1"/>
        <v>2.02</v>
      </c>
      <c r="AX9" s="110"/>
      <c r="AY9" s="111"/>
      <c r="AZ9" s="43">
        <f t="shared" si="2"/>
        <v>0</v>
      </c>
      <c r="BA9" s="105">
        <f t="shared" si="3"/>
        <v>2.02</v>
      </c>
    </row>
    <row r="10" spans="1:53" s="106" customFormat="1" ht="13.5">
      <c r="A10" s="113" t="s">
        <v>8</v>
      </c>
      <c r="B10" s="43">
        <v>1411.54</v>
      </c>
      <c r="C10" s="105">
        <v>1473.82</v>
      </c>
      <c r="D10" s="6">
        <v>0.06</v>
      </c>
      <c r="E10" s="107">
        <v>8.2</v>
      </c>
      <c r="F10" s="5">
        <v>151.46</v>
      </c>
      <c r="G10" s="7">
        <v>81.06</v>
      </c>
      <c r="H10" s="6">
        <v>1426</v>
      </c>
      <c r="I10" s="7">
        <v>1942</v>
      </c>
      <c r="J10" s="6">
        <v>176.63</v>
      </c>
      <c r="K10" s="107">
        <v>206</v>
      </c>
      <c r="L10" s="5">
        <v>323.46</v>
      </c>
      <c r="M10" s="7">
        <v>333.14</v>
      </c>
      <c r="N10" s="6">
        <v>513.46</v>
      </c>
      <c r="O10" s="107">
        <v>538.64</v>
      </c>
      <c r="P10" s="5">
        <v>27.95</v>
      </c>
      <c r="Q10" s="7">
        <v>31.56</v>
      </c>
      <c r="R10" s="6">
        <v>68.89</v>
      </c>
      <c r="S10" s="7">
        <v>17.16</v>
      </c>
      <c r="T10" s="5">
        <v>104.27</v>
      </c>
      <c r="U10" s="7">
        <v>187.18</v>
      </c>
      <c r="V10" s="36">
        <v>2788.33</v>
      </c>
      <c r="W10" s="7">
        <v>4376.27</v>
      </c>
      <c r="X10" s="6">
        <v>1382.6</v>
      </c>
      <c r="Y10" s="7">
        <v>825.5</v>
      </c>
      <c r="Z10" s="100">
        <v>74.29</v>
      </c>
      <c r="AA10" s="609">
        <v>91.6</v>
      </c>
      <c r="AB10" s="359">
        <v>1107.68</v>
      </c>
      <c r="AC10" s="360">
        <v>1174.32</v>
      </c>
      <c r="AD10" s="112">
        <v>964.73</v>
      </c>
      <c r="AE10" s="608">
        <v>1187.14</v>
      </c>
      <c r="AF10" s="6">
        <v>34</v>
      </c>
      <c r="AG10" s="7">
        <v>76</v>
      </c>
      <c r="AH10" s="6">
        <v>18.39</v>
      </c>
      <c r="AI10" s="7">
        <v>21.21</v>
      </c>
      <c r="AJ10" s="6">
        <v>642.48</v>
      </c>
      <c r="AK10" s="7">
        <v>338.95</v>
      </c>
      <c r="AL10" s="6"/>
      <c r="AM10" s="7"/>
      <c r="AN10" s="98">
        <v>1202</v>
      </c>
      <c r="AO10" s="99">
        <v>2377</v>
      </c>
      <c r="AP10" s="108">
        <v>132.08</v>
      </c>
      <c r="AQ10" s="109">
        <v>183</v>
      </c>
      <c r="AR10" s="110">
        <v>17.99</v>
      </c>
      <c r="AS10" s="111">
        <v>4.61</v>
      </c>
      <c r="AT10" s="6">
        <v>122.58</v>
      </c>
      <c r="AU10" s="7">
        <v>74.89</v>
      </c>
      <c r="AV10" s="314">
        <f t="shared" si="0"/>
        <v>11611.14</v>
      </c>
      <c r="AW10" s="604">
        <f t="shared" si="1"/>
        <v>14406.49</v>
      </c>
      <c r="AX10" s="6">
        <v>63639.8</v>
      </c>
      <c r="AY10" s="7">
        <v>77373.19</v>
      </c>
      <c r="AZ10" s="43">
        <f t="shared" si="2"/>
        <v>75250.94</v>
      </c>
      <c r="BA10" s="105">
        <f t="shared" si="3"/>
        <v>91779.68000000001</v>
      </c>
    </row>
    <row r="11" spans="1:53" s="106" customFormat="1" ht="13.5">
      <c r="A11" s="113" t="s">
        <v>9</v>
      </c>
      <c r="B11" s="43"/>
      <c r="C11" s="105"/>
      <c r="D11" s="6"/>
      <c r="E11" s="107"/>
      <c r="F11" s="5"/>
      <c r="G11" s="7"/>
      <c r="H11" s="6"/>
      <c r="I11" s="7"/>
      <c r="J11" s="6"/>
      <c r="K11" s="107"/>
      <c r="L11" s="5"/>
      <c r="M11" s="7"/>
      <c r="N11" s="6"/>
      <c r="O11" s="107"/>
      <c r="P11" s="5"/>
      <c r="Q11" s="7"/>
      <c r="R11" s="6"/>
      <c r="S11" s="7"/>
      <c r="T11" s="5"/>
      <c r="U11" s="7"/>
      <c r="V11" s="36"/>
      <c r="W11" s="7"/>
      <c r="X11" s="6"/>
      <c r="Y11" s="7"/>
      <c r="Z11" s="100"/>
      <c r="AA11" s="609"/>
      <c r="AB11" s="359"/>
      <c r="AC11" s="360"/>
      <c r="AD11" s="112"/>
      <c r="AE11" s="608"/>
      <c r="AF11" s="6"/>
      <c r="AG11" s="7"/>
      <c r="AH11" s="6"/>
      <c r="AI11" s="7"/>
      <c r="AJ11" s="6"/>
      <c r="AK11" s="7"/>
      <c r="AL11" s="6"/>
      <c r="AM11" s="7"/>
      <c r="AN11" s="98"/>
      <c r="AO11" s="99"/>
      <c r="AP11" s="108"/>
      <c r="AQ11" s="109"/>
      <c r="AR11" s="110"/>
      <c r="AS11" s="111"/>
      <c r="AT11" s="6"/>
      <c r="AU11" s="7"/>
      <c r="AV11" s="314">
        <f t="shared" si="0"/>
        <v>0</v>
      </c>
      <c r="AW11" s="604">
        <f t="shared" si="1"/>
        <v>0</v>
      </c>
      <c r="AX11" s="6"/>
      <c r="AY11" s="7"/>
      <c r="AZ11" s="43">
        <f t="shared" si="2"/>
        <v>0</v>
      </c>
      <c r="BA11" s="105">
        <f t="shared" si="3"/>
        <v>0</v>
      </c>
    </row>
    <row r="12" spans="1:53" s="412" customFormat="1" ht="13.5">
      <c r="A12" s="394" t="s">
        <v>10</v>
      </c>
      <c r="B12" s="404">
        <f aca="true" t="shared" si="4" ref="B12:Q12">SUM(B5:B11)</f>
        <v>1508.87</v>
      </c>
      <c r="C12" s="405">
        <f t="shared" si="4"/>
        <v>1573.84</v>
      </c>
      <c r="D12" s="404">
        <f t="shared" si="4"/>
        <v>0.06</v>
      </c>
      <c r="E12" s="406">
        <f t="shared" si="4"/>
        <v>8.2</v>
      </c>
      <c r="F12" s="403">
        <f t="shared" si="4"/>
        <v>156.75</v>
      </c>
      <c r="G12" s="405">
        <f t="shared" si="4"/>
        <v>87.67</v>
      </c>
      <c r="H12" s="404">
        <f t="shared" si="4"/>
        <v>1993</v>
      </c>
      <c r="I12" s="405">
        <f t="shared" si="4"/>
        <v>2224</v>
      </c>
      <c r="J12" s="404">
        <f t="shared" si="4"/>
        <v>176.63</v>
      </c>
      <c r="K12" s="406">
        <f t="shared" si="4"/>
        <v>206</v>
      </c>
      <c r="L12" s="403">
        <f t="shared" si="4"/>
        <v>353.32</v>
      </c>
      <c r="M12" s="405">
        <f t="shared" si="4"/>
        <v>356.03999999999996</v>
      </c>
      <c r="N12" s="407">
        <f t="shared" si="4"/>
        <v>548.13</v>
      </c>
      <c r="O12" s="408">
        <f t="shared" si="4"/>
        <v>659.56</v>
      </c>
      <c r="P12" s="403">
        <f t="shared" si="4"/>
        <v>37.29</v>
      </c>
      <c r="Q12" s="405">
        <f t="shared" si="4"/>
        <v>45.28</v>
      </c>
      <c r="R12" s="407">
        <f aca="true" t="shared" si="5" ref="R12:AG12">SUM(R5:R11)</f>
        <v>93.88</v>
      </c>
      <c r="S12" s="409">
        <f t="shared" si="5"/>
        <v>47.870000000000005</v>
      </c>
      <c r="T12" s="403">
        <f t="shared" si="5"/>
        <v>127.52</v>
      </c>
      <c r="U12" s="405">
        <f t="shared" si="5"/>
        <v>214.19</v>
      </c>
      <c r="V12" s="404">
        <f t="shared" si="5"/>
        <v>2829.83</v>
      </c>
      <c r="W12" s="405">
        <f t="shared" si="5"/>
        <v>4495.22</v>
      </c>
      <c r="X12" s="404">
        <f t="shared" si="5"/>
        <v>1409.1</v>
      </c>
      <c r="Y12" s="405">
        <f t="shared" si="5"/>
        <v>885.1</v>
      </c>
      <c r="Z12" s="404">
        <f t="shared" si="5"/>
        <v>101</v>
      </c>
      <c r="AA12" s="405">
        <f t="shared" si="5"/>
        <v>159.81</v>
      </c>
      <c r="AB12" s="407">
        <f t="shared" si="5"/>
        <v>1238.75</v>
      </c>
      <c r="AC12" s="409">
        <f t="shared" si="5"/>
        <v>1258.1699999999998</v>
      </c>
      <c r="AD12" s="404">
        <f t="shared" si="5"/>
        <v>1145.96</v>
      </c>
      <c r="AE12" s="406">
        <f t="shared" si="5"/>
        <v>1413.1000000000001</v>
      </c>
      <c r="AF12" s="404">
        <f t="shared" si="5"/>
        <v>269</v>
      </c>
      <c r="AG12" s="405">
        <f t="shared" si="5"/>
        <v>358</v>
      </c>
      <c r="AH12" s="404">
        <f aca="true" t="shared" si="6" ref="AH12:AU12">SUM(AH5:AH11)</f>
        <v>79.03999999999999</v>
      </c>
      <c r="AI12" s="405">
        <f t="shared" si="6"/>
        <v>117.8401</v>
      </c>
      <c r="AJ12" s="404">
        <f t="shared" si="6"/>
        <v>644.41</v>
      </c>
      <c r="AK12" s="405">
        <f t="shared" si="6"/>
        <v>340.2</v>
      </c>
      <c r="AL12" s="404">
        <f t="shared" si="6"/>
        <v>0.35</v>
      </c>
      <c r="AM12" s="405">
        <f t="shared" si="6"/>
        <v>0.0002</v>
      </c>
      <c r="AN12" s="404">
        <f t="shared" si="6"/>
        <v>2127</v>
      </c>
      <c r="AO12" s="405">
        <f t="shared" si="6"/>
        <v>3676</v>
      </c>
      <c r="AP12" s="404">
        <f t="shared" si="6"/>
        <v>298.25</v>
      </c>
      <c r="AQ12" s="405">
        <f t="shared" si="6"/>
        <v>303</v>
      </c>
      <c r="AR12" s="404">
        <f t="shared" si="6"/>
        <v>126.47999999999999</v>
      </c>
      <c r="AS12" s="405">
        <f t="shared" si="6"/>
        <v>36.57</v>
      </c>
      <c r="AT12" s="404">
        <f t="shared" si="6"/>
        <v>126.38</v>
      </c>
      <c r="AU12" s="404">
        <f t="shared" si="6"/>
        <v>79.51</v>
      </c>
      <c r="AV12" s="410">
        <f t="shared" si="0"/>
        <v>14189.54</v>
      </c>
      <c r="AW12" s="605">
        <f t="shared" si="1"/>
        <v>17332.2803</v>
      </c>
      <c r="AX12" s="411">
        <f>SUM(AX5:AX11)</f>
        <v>64939.41</v>
      </c>
      <c r="AY12" s="411">
        <f>SUM(AY5:AY11)</f>
        <v>78805.40000000001</v>
      </c>
      <c r="AZ12" s="407">
        <f t="shared" si="2"/>
        <v>79128.95000000001</v>
      </c>
      <c r="BA12" s="409">
        <f t="shared" si="3"/>
        <v>96137.6803</v>
      </c>
    </row>
    <row r="13" spans="1:53" s="106" customFormat="1" ht="13.5">
      <c r="A13" s="113" t="s">
        <v>11</v>
      </c>
      <c r="B13" s="96"/>
      <c r="C13" s="114"/>
      <c r="D13" s="6"/>
      <c r="E13" s="107"/>
      <c r="F13" s="5"/>
      <c r="G13" s="7"/>
      <c r="H13" s="6"/>
      <c r="I13" s="7"/>
      <c r="J13" s="6"/>
      <c r="K13" s="107"/>
      <c r="L13" s="5"/>
      <c r="M13" s="7"/>
      <c r="N13" s="6"/>
      <c r="O13" s="107"/>
      <c r="P13" s="5"/>
      <c r="Q13" s="7"/>
      <c r="R13" s="9"/>
      <c r="S13" s="10"/>
      <c r="T13" s="8"/>
      <c r="U13" s="10"/>
      <c r="V13" s="351"/>
      <c r="W13" s="10"/>
      <c r="X13" s="9"/>
      <c r="Y13" s="10"/>
      <c r="Z13" s="9"/>
      <c r="AA13" s="10"/>
      <c r="AB13" s="359"/>
      <c r="AC13" s="360"/>
      <c r="AD13" s="6"/>
      <c r="AE13" s="107"/>
      <c r="AF13" s="6"/>
      <c r="AG13" s="7"/>
      <c r="AH13" s="6"/>
      <c r="AI13" s="7"/>
      <c r="AJ13" s="6"/>
      <c r="AK13" s="7"/>
      <c r="AL13" s="6"/>
      <c r="AM13" s="7"/>
      <c r="AN13" s="101"/>
      <c r="AO13" s="102"/>
      <c r="AP13" s="108"/>
      <c r="AQ13" s="109"/>
      <c r="AR13" s="110"/>
      <c r="AS13" s="111"/>
      <c r="AT13" s="6"/>
      <c r="AU13" s="7"/>
      <c r="AV13" s="314">
        <f t="shared" si="0"/>
        <v>0</v>
      </c>
      <c r="AW13" s="604">
        <f t="shared" si="1"/>
        <v>0</v>
      </c>
      <c r="AX13" s="110"/>
      <c r="AY13" s="111"/>
      <c r="AZ13" s="43">
        <f t="shared" si="2"/>
        <v>0</v>
      </c>
      <c r="BA13" s="105">
        <f t="shared" si="3"/>
        <v>0</v>
      </c>
    </row>
    <row r="14" spans="1:53" s="412" customFormat="1" ht="14.25" thickBot="1">
      <c r="A14" s="396" t="s">
        <v>12</v>
      </c>
      <c r="B14" s="414">
        <f aca="true" t="shared" si="7" ref="B14:AG14">B12+B13</f>
        <v>1508.87</v>
      </c>
      <c r="C14" s="415">
        <f t="shared" si="7"/>
        <v>1573.84</v>
      </c>
      <c r="D14" s="414">
        <f t="shared" si="7"/>
        <v>0.06</v>
      </c>
      <c r="E14" s="416">
        <f t="shared" si="7"/>
        <v>8.2</v>
      </c>
      <c r="F14" s="413">
        <f t="shared" si="7"/>
        <v>156.75</v>
      </c>
      <c r="G14" s="415">
        <f t="shared" si="7"/>
        <v>87.67</v>
      </c>
      <c r="H14" s="414">
        <f t="shared" si="7"/>
        <v>1993</v>
      </c>
      <c r="I14" s="415">
        <f t="shared" si="7"/>
        <v>2224</v>
      </c>
      <c r="J14" s="414">
        <f t="shared" si="7"/>
        <v>176.63</v>
      </c>
      <c r="K14" s="416">
        <f t="shared" si="7"/>
        <v>206</v>
      </c>
      <c r="L14" s="413">
        <f t="shared" si="7"/>
        <v>353.32</v>
      </c>
      <c r="M14" s="415">
        <f t="shared" si="7"/>
        <v>356.03999999999996</v>
      </c>
      <c r="N14" s="417">
        <f t="shared" si="7"/>
        <v>548.13</v>
      </c>
      <c r="O14" s="418">
        <f t="shared" si="7"/>
        <v>659.56</v>
      </c>
      <c r="P14" s="413">
        <f>P12+P13</f>
        <v>37.29</v>
      </c>
      <c r="Q14" s="415">
        <f>Q12+Q13</f>
        <v>45.28</v>
      </c>
      <c r="R14" s="417">
        <f t="shared" si="7"/>
        <v>93.88</v>
      </c>
      <c r="S14" s="419">
        <f t="shared" si="7"/>
        <v>47.870000000000005</v>
      </c>
      <c r="T14" s="413">
        <f t="shared" si="7"/>
        <v>127.52</v>
      </c>
      <c r="U14" s="415">
        <f t="shared" si="7"/>
        <v>214.19</v>
      </c>
      <c r="V14" s="414">
        <f t="shared" si="7"/>
        <v>2829.83</v>
      </c>
      <c r="W14" s="415">
        <f t="shared" si="7"/>
        <v>4495.22</v>
      </c>
      <c r="X14" s="414">
        <f t="shared" si="7"/>
        <v>1409.1</v>
      </c>
      <c r="Y14" s="415">
        <f t="shared" si="7"/>
        <v>885.1</v>
      </c>
      <c r="Z14" s="414">
        <f t="shared" si="7"/>
        <v>101</v>
      </c>
      <c r="AA14" s="415">
        <f t="shared" si="7"/>
        <v>159.81</v>
      </c>
      <c r="AB14" s="417">
        <f t="shared" si="7"/>
        <v>1238.75</v>
      </c>
      <c r="AC14" s="419">
        <f t="shared" si="7"/>
        <v>1258.1699999999998</v>
      </c>
      <c r="AD14" s="414">
        <f t="shared" si="7"/>
        <v>1145.96</v>
      </c>
      <c r="AE14" s="416">
        <f t="shared" si="7"/>
        <v>1413.1000000000001</v>
      </c>
      <c r="AF14" s="414">
        <f t="shared" si="7"/>
        <v>269</v>
      </c>
      <c r="AG14" s="415">
        <f t="shared" si="7"/>
        <v>358</v>
      </c>
      <c r="AH14" s="414">
        <f aca="true" t="shared" si="8" ref="AH14:AU14">AH12+AH13</f>
        <v>79.03999999999999</v>
      </c>
      <c r="AI14" s="415">
        <f t="shared" si="8"/>
        <v>117.8401</v>
      </c>
      <c r="AJ14" s="414">
        <f t="shared" si="8"/>
        <v>644.41</v>
      </c>
      <c r="AK14" s="415">
        <f t="shared" si="8"/>
        <v>340.2</v>
      </c>
      <c r="AL14" s="414">
        <f t="shared" si="8"/>
        <v>0.35</v>
      </c>
      <c r="AM14" s="415">
        <f t="shared" si="8"/>
        <v>0.0002</v>
      </c>
      <c r="AN14" s="414">
        <f t="shared" si="8"/>
        <v>2127</v>
      </c>
      <c r="AO14" s="415">
        <f t="shared" si="8"/>
        <v>3676</v>
      </c>
      <c r="AP14" s="414">
        <f t="shared" si="8"/>
        <v>298.25</v>
      </c>
      <c r="AQ14" s="415">
        <f t="shared" si="8"/>
        <v>303</v>
      </c>
      <c r="AR14" s="414">
        <f t="shared" si="8"/>
        <v>126.47999999999999</v>
      </c>
      <c r="AS14" s="415">
        <f t="shared" si="8"/>
        <v>36.57</v>
      </c>
      <c r="AT14" s="414">
        <f t="shared" si="8"/>
        <v>126.38</v>
      </c>
      <c r="AU14" s="414">
        <f t="shared" si="8"/>
        <v>79.51</v>
      </c>
      <c r="AV14" s="606">
        <f t="shared" si="0"/>
        <v>14189.54</v>
      </c>
      <c r="AW14" s="607">
        <f t="shared" si="1"/>
        <v>17332.2803</v>
      </c>
      <c r="AX14" s="420">
        <f>AX12+AX13</f>
        <v>64939.41</v>
      </c>
      <c r="AY14" s="420">
        <f>AY12+AY13</f>
        <v>78805.40000000001</v>
      </c>
      <c r="AZ14" s="417">
        <f t="shared" si="2"/>
        <v>79128.95000000001</v>
      </c>
      <c r="BA14" s="419">
        <f t="shared" si="3"/>
        <v>96137.6803</v>
      </c>
    </row>
  </sheetData>
  <sheetProtection/>
  <mergeCells count="29">
    <mergeCell ref="AJ3:AK3"/>
    <mergeCell ref="AH3:AI3"/>
    <mergeCell ref="V3:W3"/>
    <mergeCell ref="H3:I3"/>
    <mergeCell ref="B3:C3"/>
    <mergeCell ref="F3:G3"/>
    <mergeCell ref="D3:E3"/>
    <mergeCell ref="T3:U3"/>
    <mergeCell ref="R3:S3"/>
    <mergeCell ref="AZ3:BA3"/>
    <mergeCell ref="AV3:AW3"/>
    <mergeCell ref="AT3:AU3"/>
    <mergeCell ref="AR3:AS3"/>
    <mergeCell ref="AP3:AQ3"/>
    <mergeCell ref="X3:Y3"/>
    <mergeCell ref="Z3:AA3"/>
    <mergeCell ref="AD3:AE3"/>
    <mergeCell ref="AB3:AC3"/>
    <mergeCell ref="AF3:AG3"/>
    <mergeCell ref="A1:AY1"/>
    <mergeCell ref="A2:AY2"/>
    <mergeCell ref="A3:A4"/>
    <mergeCell ref="AN3:AO3"/>
    <mergeCell ref="AL3:AM3"/>
    <mergeCell ref="P3:Q3"/>
    <mergeCell ref="N3:O3"/>
    <mergeCell ref="L3:M3"/>
    <mergeCell ref="J3:K3"/>
    <mergeCell ref="AX3:AY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8" sqref="D18"/>
    </sheetView>
  </sheetViews>
  <sheetFormatPr defaultColWidth="9.140625" defaultRowHeight="15"/>
  <cols>
    <col min="1" max="1" width="66.28125" style="11" customWidth="1"/>
    <col min="2" max="5" width="12.8515625" style="11" bestFit="1" customWidth="1"/>
    <col min="6" max="6" width="11.8515625" style="11" customWidth="1"/>
    <col min="7" max="15" width="12.8515625" style="11" bestFit="1" customWidth="1"/>
    <col min="16" max="17" width="12.8515625" style="41" bestFit="1" customWidth="1"/>
    <col min="18" max="25" width="12.8515625" style="11" bestFit="1" customWidth="1"/>
    <col min="26" max="27" width="12.8515625" style="41" bestFit="1" customWidth="1"/>
    <col min="28" max="35" width="12.8515625" style="11" bestFit="1" customWidth="1"/>
    <col min="36" max="36" width="11.28125" style="11" customWidth="1"/>
    <col min="37" max="53" width="12.8515625" style="11" bestFit="1" customWidth="1"/>
    <col min="54" max="16384" width="9.140625" style="11" customWidth="1"/>
  </cols>
  <sheetData>
    <row r="1" spans="1:51" s="120" customFormat="1" ht="14.25">
      <c r="A1" s="1092" t="s">
        <v>13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  <c r="AH1" s="1092"/>
      <c r="AI1" s="1092"/>
      <c r="AJ1" s="1092"/>
      <c r="AK1" s="1092"/>
      <c r="AL1" s="1092"/>
      <c r="AM1" s="1092"/>
      <c r="AN1" s="1092"/>
      <c r="AO1" s="1092"/>
      <c r="AP1" s="1092"/>
      <c r="AQ1" s="1092"/>
      <c r="AR1" s="1092"/>
      <c r="AS1" s="1092"/>
      <c r="AT1" s="1092"/>
      <c r="AU1" s="1092"/>
      <c r="AV1" s="1092"/>
      <c r="AW1" s="1092"/>
      <c r="AX1" s="1092"/>
      <c r="AY1" s="1092"/>
    </row>
    <row r="2" spans="1:51" ht="15" thickBo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1063"/>
      <c r="X2" s="1063"/>
      <c r="Y2" s="1063"/>
      <c r="Z2" s="1063"/>
      <c r="AA2" s="1063"/>
      <c r="AB2" s="1063"/>
      <c r="AC2" s="1063"/>
      <c r="AD2" s="1063"/>
      <c r="AE2" s="1063"/>
      <c r="AF2" s="1063"/>
      <c r="AG2" s="1063"/>
      <c r="AH2" s="1063"/>
      <c r="AI2" s="1063"/>
      <c r="AJ2" s="1063"/>
      <c r="AK2" s="1063"/>
      <c r="AL2" s="1063"/>
      <c r="AM2" s="1063"/>
      <c r="AN2" s="1063"/>
      <c r="AO2" s="1063"/>
      <c r="AP2" s="1063"/>
      <c r="AQ2" s="1063"/>
      <c r="AR2" s="1063"/>
      <c r="AS2" s="1063"/>
      <c r="AT2" s="1063"/>
      <c r="AU2" s="1063"/>
      <c r="AV2" s="1063"/>
      <c r="AW2" s="1063"/>
      <c r="AX2" s="1063"/>
      <c r="AY2" s="1063"/>
    </row>
    <row r="3" spans="1:53" s="821" customFormat="1" ht="44.25" customHeight="1">
      <c r="A3" s="1093" t="s">
        <v>0</v>
      </c>
      <c r="B3" s="1104" t="s">
        <v>117</v>
      </c>
      <c r="C3" s="1105"/>
      <c r="D3" s="1109" t="s">
        <v>118</v>
      </c>
      <c r="E3" s="1105"/>
      <c r="F3" s="1109" t="s">
        <v>119</v>
      </c>
      <c r="G3" s="1105"/>
      <c r="H3" s="1104" t="s">
        <v>120</v>
      </c>
      <c r="I3" s="1105"/>
      <c r="J3" s="1108" t="s">
        <v>121</v>
      </c>
      <c r="K3" s="1105"/>
      <c r="L3" s="1104" t="s">
        <v>122</v>
      </c>
      <c r="M3" s="1105"/>
      <c r="N3" s="1108" t="s">
        <v>123</v>
      </c>
      <c r="O3" s="1105"/>
      <c r="P3" s="1106" t="s">
        <v>124</v>
      </c>
      <c r="Q3" s="1107"/>
      <c r="R3" s="1108" t="s">
        <v>125</v>
      </c>
      <c r="S3" s="1105"/>
      <c r="T3" s="1108" t="s">
        <v>126</v>
      </c>
      <c r="U3" s="1105"/>
      <c r="V3" s="1108" t="s">
        <v>127</v>
      </c>
      <c r="W3" s="1105"/>
      <c r="X3" s="1108" t="s">
        <v>128</v>
      </c>
      <c r="Y3" s="1105"/>
      <c r="Z3" s="1113" t="s">
        <v>129</v>
      </c>
      <c r="AA3" s="1107"/>
      <c r="AB3" s="1104" t="s">
        <v>130</v>
      </c>
      <c r="AC3" s="1105"/>
      <c r="AD3" s="1112" t="s">
        <v>131</v>
      </c>
      <c r="AE3" s="1111"/>
      <c r="AF3" s="1108" t="s">
        <v>132</v>
      </c>
      <c r="AG3" s="1105"/>
      <c r="AH3" s="1108" t="s">
        <v>133</v>
      </c>
      <c r="AI3" s="1105"/>
      <c r="AJ3" s="1108" t="s">
        <v>134</v>
      </c>
      <c r="AK3" s="1105"/>
      <c r="AL3" s="1110" t="s">
        <v>135</v>
      </c>
      <c r="AM3" s="1111"/>
      <c r="AN3" s="1108" t="s">
        <v>136</v>
      </c>
      <c r="AO3" s="1105"/>
      <c r="AP3" s="1108" t="s">
        <v>137</v>
      </c>
      <c r="AQ3" s="1105"/>
      <c r="AR3" s="1108" t="s">
        <v>138</v>
      </c>
      <c r="AS3" s="1105"/>
      <c r="AT3" s="1104" t="s">
        <v>139</v>
      </c>
      <c r="AU3" s="1105"/>
      <c r="AV3" s="1104" t="s">
        <v>1</v>
      </c>
      <c r="AW3" s="1105"/>
      <c r="AX3" s="1110" t="s">
        <v>140</v>
      </c>
      <c r="AY3" s="1111"/>
      <c r="AZ3" s="1110" t="s">
        <v>2</v>
      </c>
      <c r="BA3" s="1111"/>
    </row>
    <row r="4" spans="1:53" s="395" customFormat="1" ht="15" thickBot="1">
      <c r="A4" s="1094"/>
      <c r="B4" s="695" t="s">
        <v>253</v>
      </c>
      <c r="C4" s="696" t="s">
        <v>254</v>
      </c>
      <c r="D4" s="695" t="s">
        <v>253</v>
      </c>
      <c r="E4" s="696" t="s">
        <v>254</v>
      </c>
      <c r="F4" s="695" t="s">
        <v>253</v>
      </c>
      <c r="G4" s="696" t="s">
        <v>254</v>
      </c>
      <c r="H4" s="695" t="s">
        <v>253</v>
      </c>
      <c r="I4" s="696" t="s">
        <v>254</v>
      </c>
      <c r="J4" s="695" t="s">
        <v>253</v>
      </c>
      <c r="K4" s="696" t="s">
        <v>254</v>
      </c>
      <c r="L4" s="695" t="s">
        <v>253</v>
      </c>
      <c r="M4" s="696" t="s">
        <v>254</v>
      </c>
      <c r="N4" s="695" t="s">
        <v>253</v>
      </c>
      <c r="O4" s="696" t="s">
        <v>254</v>
      </c>
      <c r="P4" s="695" t="s">
        <v>253</v>
      </c>
      <c r="Q4" s="696" t="s">
        <v>254</v>
      </c>
      <c r="R4" s="695" t="s">
        <v>253</v>
      </c>
      <c r="S4" s="696" t="s">
        <v>254</v>
      </c>
      <c r="T4" s="695" t="s">
        <v>253</v>
      </c>
      <c r="U4" s="696" t="s">
        <v>254</v>
      </c>
      <c r="V4" s="695" t="s">
        <v>253</v>
      </c>
      <c r="W4" s="696" t="s">
        <v>254</v>
      </c>
      <c r="X4" s="695" t="s">
        <v>253</v>
      </c>
      <c r="Y4" s="696" t="s">
        <v>254</v>
      </c>
      <c r="Z4" s="695" t="s">
        <v>253</v>
      </c>
      <c r="AA4" s="696" t="s">
        <v>254</v>
      </c>
      <c r="AB4" s="695" t="s">
        <v>253</v>
      </c>
      <c r="AC4" s="696" t="s">
        <v>254</v>
      </c>
      <c r="AD4" s="695" t="s">
        <v>253</v>
      </c>
      <c r="AE4" s="696" t="s">
        <v>254</v>
      </c>
      <c r="AF4" s="695" t="s">
        <v>253</v>
      </c>
      <c r="AG4" s="696" t="s">
        <v>254</v>
      </c>
      <c r="AH4" s="695" t="s">
        <v>253</v>
      </c>
      <c r="AI4" s="696" t="s">
        <v>254</v>
      </c>
      <c r="AJ4" s="695" t="s">
        <v>253</v>
      </c>
      <c r="AK4" s="696" t="s">
        <v>254</v>
      </c>
      <c r="AL4" s="695" t="s">
        <v>253</v>
      </c>
      <c r="AM4" s="696" t="s">
        <v>254</v>
      </c>
      <c r="AN4" s="695" t="s">
        <v>253</v>
      </c>
      <c r="AO4" s="696" t="s">
        <v>254</v>
      </c>
      <c r="AP4" s="695" t="s">
        <v>253</v>
      </c>
      <c r="AQ4" s="696" t="s">
        <v>254</v>
      </c>
      <c r="AR4" s="695" t="s">
        <v>253</v>
      </c>
      <c r="AS4" s="696" t="s">
        <v>254</v>
      </c>
      <c r="AT4" s="695" t="s">
        <v>253</v>
      </c>
      <c r="AU4" s="696" t="s">
        <v>254</v>
      </c>
      <c r="AV4" s="695" t="s">
        <v>253</v>
      </c>
      <c r="AW4" s="696" t="s">
        <v>254</v>
      </c>
      <c r="AX4" s="695" t="s">
        <v>253</v>
      </c>
      <c r="AY4" s="696" t="s">
        <v>254</v>
      </c>
      <c r="AZ4" s="695" t="s">
        <v>253</v>
      </c>
      <c r="BA4" s="696" t="s">
        <v>254</v>
      </c>
    </row>
    <row r="5" spans="1:53" s="688" customFormat="1" ht="13.5">
      <c r="A5" s="357" t="s">
        <v>3</v>
      </c>
      <c r="B5" s="493">
        <v>13265</v>
      </c>
      <c r="C5" s="494">
        <v>8104</v>
      </c>
      <c r="D5" s="493"/>
      <c r="E5" s="494"/>
      <c r="F5" s="493">
        <v>3348</v>
      </c>
      <c r="G5" s="494">
        <v>1195</v>
      </c>
      <c r="H5" s="493">
        <v>94668</v>
      </c>
      <c r="I5" s="494">
        <v>19290</v>
      </c>
      <c r="J5" s="493"/>
      <c r="K5" s="494"/>
      <c r="L5" s="493"/>
      <c r="M5" s="494"/>
      <c r="N5" s="493"/>
      <c r="O5" s="494"/>
      <c r="P5" s="493">
        <v>351648</v>
      </c>
      <c r="Q5" s="494">
        <v>457124</v>
      </c>
      <c r="R5" s="493">
        <v>10</v>
      </c>
      <c r="S5" s="494"/>
      <c r="T5" s="493">
        <v>4148</v>
      </c>
      <c r="U5" s="494">
        <v>599</v>
      </c>
      <c r="V5" s="493">
        <v>1867</v>
      </c>
      <c r="W5" s="494">
        <v>2393</v>
      </c>
      <c r="X5" s="493">
        <v>4288</v>
      </c>
      <c r="Y5" s="494">
        <v>14621</v>
      </c>
      <c r="Z5" s="493">
        <v>5499</v>
      </c>
      <c r="AA5" s="693"/>
      <c r="AB5" s="42"/>
      <c r="AC5" s="224"/>
      <c r="AD5" s="493"/>
      <c r="AE5" s="494">
        <v>285</v>
      </c>
      <c r="AF5" s="493">
        <v>7276</v>
      </c>
      <c r="AG5" s="493">
        <v>4746</v>
      </c>
      <c r="AH5" s="494">
        <v>105</v>
      </c>
      <c r="AI5" s="494">
        <v>8064</v>
      </c>
      <c r="AJ5" s="493">
        <v>401</v>
      </c>
      <c r="AK5" s="494">
        <v>1567</v>
      </c>
      <c r="AL5" s="493"/>
      <c r="AM5" s="494"/>
      <c r="AN5" s="684">
        <v>41825</v>
      </c>
      <c r="AO5" s="685">
        <v>53075</v>
      </c>
      <c r="AP5" s="493">
        <v>37</v>
      </c>
      <c r="AQ5" s="494"/>
      <c r="AR5" s="493">
        <v>134</v>
      </c>
      <c r="AS5" s="494">
        <v>166</v>
      </c>
      <c r="AT5" s="493">
        <v>3254</v>
      </c>
      <c r="AU5" s="494">
        <v>11057</v>
      </c>
      <c r="AV5" s="492">
        <f aca="true" t="shared" si="0" ref="AV5:AV14">SUM(B5+D5+F5+H5+J5+L5+N5+P5+R5+T5+V5+X5+Z5+P5+AD5+AF5+AH5+AJ5+AL5+AN5+AP5+AR5+AT5)</f>
        <v>883421</v>
      </c>
      <c r="AW5" s="694">
        <f aca="true" t="shared" si="1" ref="AW5:AW14">SUM(C5+E5+G5+I5+K5+M5+O5+Q5+S5+U5+W5+Y5+AA5+Q5+AE5+AG5+AI5+AK5+AM5+AO5+AQ5+AS5+AU5)</f>
        <v>1039410</v>
      </c>
      <c r="AX5" s="493">
        <v>2169865</v>
      </c>
      <c r="AY5" s="494">
        <v>1584467</v>
      </c>
      <c r="AZ5" s="492">
        <f aca="true" t="shared" si="2" ref="AZ5:AZ14">AV5+AX5</f>
        <v>3053286</v>
      </c>
      <c r="BA5" s="694">
        <f aca="true" t="shared" si="3" ref="BA5:BA14">AW5+AY5</f>
        <v>2623877</v>
      </c>
    </row>
    <row r="6" spans="1:53" s="688" customFormat="1" ht="13.5">
      <c r="A6" s="357" t="s">
        <v>4</v>
      </c>
      <c r="B6" s="13">
        <v>2128</v>
      </c>
      <c r="C6" s="15">
        <v>1124</v>
      </c>
      <c r="D6" s="34"/>
      <c r="E6" s="38"/>
      <c r="F6" s="34">
        <v>151</v>
      </c>
      <c r="G6" s="38">
        <v>67</v>
      </c>
      <c r="H6" s="34">
        <v>4969</v>
      </c>
      <c r="I6" s="38">
        <v>5425</v>
      </c>
      <c r="J6" s="34"/>
      <c r="K6" s="38"/>
      <c r="L6" s="34">
        <v>12145</v>
      </c>
      <c r="M6" s="38">
        <v>19081</v>
      </c>
      <c r="N6" s="34"/>
      <c r="O6" s="38">
        <v>127</v>
      </c>
      <c r="P6" s="34"/>
      <c r="Q6" s="38"/>
      <c r="R6" s="34"/>
      <c r="S6" s="38"/>
      <c r="T6" s="34"/>
      <c r="U6" s="38"/>
      <c r="V6" s="34">
        <v>854635</v>
      </c>
      <c r="W6" s="38">
        <v>792788</v>
      </c>
      <c r="X6" s="34">
        <v>758</v>
      </c>
      <c r="Y6" s="38">
        <v>45925</v>
      </c>
      <c r="Z6" s="689">
        <v>68945</v>
      </c>
      <c r="AA6" s="690">
        <v>30169</v>
      </c>
      <c r="AB6" s="34">
        <v>900864</v>
      </c>
      <c r="AC6" s="38">
        <v>898750</v>
      </c>
      <c r="AD6" s="34">
        <v>3124</v>
      </c>
      <c r="AE6" s="38">
        <v>4959</v>
      </c>
      <c r="AF6" s="34">
        <v>269670</v>
      </c>
      <c r="AG6" s="34">
        <v>132501</v>
      </c>
      <c r="AH6" s="38">
        <v>50081</v>
      </c>
      <c r="AI6" s="38">
        <v>55999</v>
      </c>
      <c r="AJ6" s="34"/>
      <c r="AK6" s="38"/>
      <c r="AL6" s="34"/>
      <c r="AM6" s="38"/>
      <c r="AN6" s="686">
        <v>914066</v>
      </c>
      <c r="AO6" s="687">
        <v>712722</v>
      </c>
      <c r="AP6" s="691"/>
      <c r="AQ6" s="692">
        <v>3</v>
      </c>
      <c r="AR6" s="30">
        <v>2716079</v>
      </c>
      <c r="AS6" s="31">
        <v>198981</v>
      </c>
      <c r="AT6" s="34">
        <v>1161</v>
      </c>
      <c r="AU6" s="38">
        <v>616</v>
      </c>
      <c r="AV6" s="14">
        <f t="shared" si="0"/>
        <v>4897912</v>
      </c>
      <c r="AW6" s="329">
        <f t="shared" si="1"/>
        <v>2000487</v>
      </c>
      <c r="AX6" s="30">
        <v>3612</v>
      </c>
      <c r="AY6" s="31">
        <v>5664</v>
      </c>
      <c r="AZ6" s="14">
        <f t="shared" si="2"/>
        <v>4901524</v>
      </c>
      <c r="BA6" s="329">
        <f t="shared" si="3"/>
        <v>2006151</v>
      </c>
    </row>
    <row r="7" spans="1:53" s="688" customFormat="1" ht="13.5">
      <c r="A7" s="357" t="s">
        <v>5</v>
      </c>
      <c r="B7" s="13">
        <v>1765</v>
      </c>
      <c r="C7" s="15">
        <v>12658</v>
      </c>
      <c r="D7" s="34"/>
      <c r="E7" s="38"/>
      <c r="F7" s="34"/>
      <c r="G7" s="38"/>
      <c r="H7" s="34">
        <v>27867584</v>
      </c>
      <c r="I7" s="38">
        <v>6194229</v>
      </c>
      <c r="J7" s="34"/>
      <c r="K7" s="38"/>
      <c r="L7" s="34"/>
      <c r="M7" s="38"/>
      <c r="N7" s="34">
        <v>1672</v>
      </c>
      <c r="O7" s="38"/>
      <c r="P7" s="34"/>
      <c r="Q7" s="38"/>
      <c r="R7" s="34"/>
      <c r="S7" s="38"/>
      <c r="T7" s="34"/>
      <c r="U7" s="38"/>
      <c r="V7" s="34">
        <v>-2488</v>
      </c>
      <c r="W7" s="38">
        <v>-2289</v>
      </c>
      <c r="X7" s="34"/>
      <c r="Y7" s="38"/>
      <c r="Z7" s="689"/>
      <c r="AA7" s="690"/>
      <c r="AB7" s="34">
        <v>7</v>
      </c>
      <c r="AC7" s="38"/>
      <c r="AD7" s="34"/>
      <c r="AE7" s="38"/>
      <c r="AF7" s="34"/>
      <c r="AG7" s="34"/>
      <c r="AH7" s="38">
        <v>5900</v>
      </c>
      <c r="AI7" s="38">
        <v>5014</v>
      </c>
      <c r="AJ7" s="34"/>
      <c r="AK7" s="38"/>
      <c r="AL7" s="34">
        <v>86207</v>
      </c>
      <c r="AM7" s="38">
        <v>4568</v>
      </c>
      <c r="AN7" s="686">
        <v>29368</v>
      </c>
      <c r="AO7" s="687">
        <v>106747</v>
      </c>
      <c r="AP7" s="691">
        <v>556600</v>
      </c>
      <c r="AQ7" s="692">
        <v>367734</v>
      </c>
      <c r="AR7" s="30"/>
      <c r="AS7" s="31"/>
      <c r="AT7" s="34">
        <v>4206</v>
      </c>
      <c r="AU7" s="38">
        <v>275</v>
      </c>
      <c r="AV7" s="14">
        <f t="shared" si="0"/>
        <v>28550814</v>
      </c>
      <c r="AW7" s="329">
        <f t="shared" si="1"/>
        <v>6688936</v>
      </c>
      <c r="AX7" s="30">
        <v>2094</v>
      </c>
      <c r="AY7" s="31">
        <v>4171</v>
      </c>
      <c r="AZ7" s="14">
        <f t="shared" si="2"/>
        <v>28552908</v>
      </c>
      <c r="BA7" s="329">
        <f t="shared" si="3"/>
        <v>6693107</v>
      </c>
    </row>
    <row r="8" spans="1:53" s="688" customFormat="1" ht="13.5">
      <c r="A8" s="357" t="s">
        <v>6</v>
      </c>
      <c r="B8" s="13">
        <v>690038</v>
      </c>
      <c r="C8" s="15">
        <v>605120</v>
      </c>
      <c r="D8" s="34"/>
      <c r="E8" s="38"/>
      <c r="F8" s="34">
        <v>13770</v>
      </c>
      <c r="G8" s="38">
        <v>8940</v>
      </c>
      <c r="H8" s="34">
        <v>275172</v>
      </c>
      <c r="I8" s="38">
        <v>1624927</v>
      </c>
      <c r="J8" s="34">
        <v>292</v>
      </c>
      <c r="K8" s="38"/>
      <c r="L8" s="34">
        <v>25</v>
      </c>
      <c r="M8" s="38"/>
      <c r="N8" s="34">
        <v>3251718</v>
      </c>
      <c r="O8" s="38">
        <v>6895394</v>
      </c>
      <c r="P8" s="34">
        <v>25010</v>
      </c>
      <c r="Q8" s="38">
        <v>21199</v>
      </c>
      <c r="R8" s="34">
        <v>482008</v>
      </c>
      <c r="S8" s="38">
        <v>431361</v>
      </c>
      <c r="T8" s="34">
        <v>157855</v>
      </c>
      <c r="U8" s="38">
        <v>126198</v>
      </c>
      <c r="V8" s="34">
        <v>507494</v>
      </c>
      <c r="W8" s="38">
        <v>747268</v>
      </c>
      <c r="X8" s="34">
        <v>55156</v>
      </c>
      <c r="Y8" s="38">
        <v>206972</v>
      </c>
      <c r="Z8" s="689">
        <v>28330</v>
      </c>
      <c r="AA8" s="690">
        <v>54193</v>
      </c>
      <c r="AB8" s="34">
        <v>3</v>
      </c>
      <c r="AC8" s="38">
        <v>34460</v>
      </c>
      <c r="AD8" s="34">
        <v>1000844</v>
      </c>
      <c r="AE8" s="38">
        <v>1084557</v>
      </c>
      <c r="AF8" s="34">
        <v>321529</v>
      </c>
      <c r="AG8" s="34">
        <v>292363</v>
      </c>
      <c r="AH8" s="38">
        <v>474068</v>
      </c>
      <c r="AI8" s="38">
        <v>864582</v>
      </c>
      <c r="AJ8" s="34">
        <v>53460</v>
      </c>
      <c r="AK8" s="38">
        <v>24125</v>
      </c>
      <c r="AL8" s="34"/>
      <c r="AM8" s="38"/>
      <c r="AN8" s="686">
        <v>31289</v>
      </c>
      <c r="AO8" s="687">
        <v>223954</v>
      </c>
      <c r="AP8" s="691">
        <v>531976</v>
      </c>
      <c r="AQ8" s="692">
        <v>646605</v>
      </c>
      <c r="AR8" s="30">
        <v>13482</v>
      </c>
      <c r="AS8" s="31">
        <v>5551</v>
      </c>
      <c r="AT8" s="34">
        <v>3189</v>
      </c>
      <c r="AU8" s="38">
        <v>1564</v>
      </c>
      <c r="AV8" s="14">
        <f t="shared" si="0"/>
        <v>7941715</v>
      </c>
      <c r="AW8" s="329">
        <f t="shared" si="1"/>
        <v>13886072</v>
      </c>
      <c r="AX8" s="30">
        <v>592025</v>
      </c>
      <c r="AY8" s="31">
        <v>10503</v>
      </c>
      <c r="AZ8" s="14">
        <f t="shared" si="2"/>
        <v>8533740</v>
      </c>
      <c r="BA8" s="329">
        <f t="shared" si="3"/>
        <v>13896575</v>
      </c>
    </row>
    <row r="9" spans="1:53" s="688" customFormat="1" ht="13.5">
      <c r="A9" s="357" t="s">
        <v>7</v>
      </c>
      <c r="B9" s="13"/>
      <c r="C9" s="15"/>
      <c r="D9" s="34"/>
      <c r="E9" s="38"/>
      <c r="F9" s="34"/>
      <c r="G9" s="38"/>
      <c r="H9" s="34"/>
      <c r="I9" s="38">
        <v>18653</v>
      </c>
      <c r="J9" s="34"/>
      <c r="K9" s="38"/>
      <c r="L9" s="34"/>
      <c r="M9" s="38"/>
      <c r="N9" s="34"/>
      <c r="O9" s="38"/>
      <c r="P9" s="34"/>
      <c r="Q9" s="38"/>
      <c r="R9" s="34"/>
      <c r="S9" s="38"/>
      <c r="T9" s="34"/>
      <c r="U9" s="38"/>
      <c r="V9" s="34"/>
      <c r="W9" s="38">
        <v>91553</v>
      </c>
      <c r="X9" s="34"/>
      <c r="Y9" s="38"/>
      <c r="Z9" s="689"/>
      <c r="AA9" s="690"/>
      <c r="AB9" s="34"/>
      <c r="AC9" s="38"/>
      <c r="AD9" s="34"/>
      <c r="AE9" s="38"/>
      <c r="AF9" s="34"/>
      <c r="AG9" s="38"/>
      <c r="AH9" s="38"/>
      <c r="AI9" s="38"/>
      <c r="AJ9" s="34"/>
      <c r="AK9" s="38"/>
      <c r="AL9" s="34"/>
      <c r="AM9" s="38"/>
      <c r="AN9" s="686"/>
      <c r="AO9" s="687">
        <v>825</v>
      </c>
      <c r="AP9" s="691"/>
      <c r="AQ9" s="692"/>
      <c r="AR9" s="30"/>
      <c r="AS9" s="31"/>
      <c r="AT9" s="34"/>
      <c r="AU9" s="38"/>
      <c r="AV9" s="14">
        <f t="shared" si="0"/>
        <v>0</v>
      </c>
      <c r="AW9" s="329">
        <f t="shared" si="1"/>
        <v>111031</v>
      </c>
      <c r="AX9" s="30"/>
      <c r="AY9" s="31"/>
      <c r="AZ9" s="14">
        <f t="shared" si="2"/>
        <v>0</v>
      </c>
      <c r="BA9" s="329">
        <f t="shared" si="3"/>
        <v>111031</v>
      </c>
    </row>
    <row r="10" spans="1:53" s="688" customFormat="1" ht="13.5">
      <c r="A10" s="357" t="s">
        <v>8</v>
      </c>
      <c r="B10" s="13">
        <v>735140</v>
      </c>
      <c r="C10" s="15">
        <v>1007147</v>
      </c>
      <c r="D10" s="34">
        <v>35660</v>
      </c>
      <c r="E10" s="38">
        <v>47011</v>
      </c>
      <c r="F10" s="34">
        <v>158413</v>
      </c>
      <c r="G10" s="38">
        <v>156820</v>
      </c>
      <c r="H10" s="34">
        <v>16496078</v>
      </c>
      <c r="I10" s="38">
        <v>35911602</v>
      </c>
      <c r="J10" s="34">
        <v>99647</v>
      </c>
      <c r="K10" s="38">
        <v>53891</v>
      </c>
      <c r="L10" s="814">
        <v>10999</v>
      </c>
      <c r="M10" s="38">
        <v>97855</v>
      </c>
      <c r="N10" s="34">
        <v>3674146</v>
      </c>
      <c r="O10" s="38">
        <v>4194727</v>
      </c>
      <c r="P10" s="34">
        <v>36299</v>
      </c>
      <c r="Q10" s="38">
        <v>61187</v>
      </c>
      <c r="R10" s="34">
        <v>381968</v>
      </c>
      <c r="S10" s="38">
        <v>69540</v>
      </c>
      <c r="T10" s="34">
        <v>83639</v>
      </c>
      <c r="U10" s="38">
        <v>377492</v>
      </c>
      <c r="V10" s="34">
        <v>12865229</v>
      </c>
      <c r="W10" s="38">
        <v>18142481</v>
      </c>
      <c r="X10" s="34">
        <v>1169683</v>
      </c>
      <c r="Y10" s="38">
        <v>1791614</v>
      </c>
      <c r="Z10" s="689">
        <v>513293</v>
      </c>
      <c r="AA10" s="690">
        <v>311992</v>
      </c>
      <c r="AB10" s="34">
        <v>2526652</v>
      </c>
      <c r="AC10" s="38">
        <v>2668994</v>
      </c>
      <c r="AD10" s="39">
        <v>8018399</v>
      </c>
      <c r="AE10" s="40">
        <v>9438474</v>
      </c>
      <c r="AF10" s="34">
        <v>844400</v>
      </c>
      <c r="AG10" s="38">
        <v>1340483</v>
      </c>
      <c r="AH10" s="38">
        <v>492376</v>
      </c>
      <c r="AI10" s="38">
        <v>499983</v>
      </c>
      <c r="AJ10" s="34">
        <v>3308868</v>
      </c>
      <c r="AK10" s="38">
        <v>2639659</v>
      </c>
      <c r="AL10" s="34"/>
      <c r="AM10" s="38"/>
      <c r="AN10" s="686">
        <v>6899691</v>
      </c>
      <c r="AO10" s="687">
        <v>2571477</v>
      </c>
      <c r="AP10" s="691">
        <v>7637890</v>
      </c>
      <c r="AQ10" s="692">
        <v>21083522</v>
      </c>
      <c r="AR10" s="30">
        <v>125134</v>
      </c>
      <c r="AS10" s="31">
        <v>35543</v>
      </c>
      <c r="AT10" s="34">
        <v>394912</v>
      </c>
      <c r="AU10" s="38">
        <v>81121</v>
      </c>
      <c r="AV10" s="14">
        <f t="shared" si="0"/>
        <v>64018163</v>
      </c>
      <c r="AW10" s="329">
        <f t="shared" si="1"/>
        <v>99974808</v>
      </c>
      <c r="AX10" s="34">
        <v>59852119</v>
      </c>
      <c r="AY10" s="38">
        <v>51569397</v>
      </c>
      <c r="AZ10" s="14">
        <f t="shared" si="2"/>
        <v>123870282</v>
      </c>
      <c r="BA10" s="329">
        <f t="shared" si="3"/>
        <v>151544205</v>
      </c>
    </row>
    <row r="11" spans="1:53" s="688" customFormat="1" ht="14.25" thickBot="1">
      <c r="A11" s="357" t="s">
        <v>9</v>
      </c>
      <c r="B11" s="717"/>
      <c r="C11" s="718"/>
      <c r="D11" s="721"/>
      <c r="E11" s="722"/>
      <c r="F11" s="721"/>
      <c r="G11" s="722"/>
      <c r="H11" s="721"/>
      <c r="I11" s="722"/>
      <c r="J11" s="721"/>
      <c r="K11" s="722"/>
      <c r="L11" s="721"/>
      <c r="M11" s="722"/>
      <c r="N11" s="721"/>
      <c r="O11" s="722"/>
      <c r="P11" s="721"/>
      <c r="Q11" s="722"/>
      <c r="R11" s="721"/>
      <c r="S11" s="722"/>
      <c r="T11" s="721"/>
      <c r="U11" s="722"/>
      <c r="V11" s="721"/>
      <c r="W11" s="722"/>
      <c r="X11" s="721"/>
      <c r="Y11" s="722"/>
      <c r="Z11" s="723"/>
      <c r="AA11" s="724"/>
      <c r="AB11" s="721"/>
      <c r="AC11" s="722"/>
      <c r="AD11" s="640"/>
      <c r="AE11" s="641"/>
      <c r="AF11" s="721"/>
      <c r="AG11" s="722"/>
      <c r="AH11" s="721"/>
      <c r="AI11" s="722"/>
      <c r="AJ11" s="721"/>
      <c r="AK11" s="722"/>
      <c r="AL11" s="721"/>
      <c r="AM11" s="722"/>
      <c r="AN11" s="725"/>
      <c r="AO11" s="726"/>
      <c r="AP11" s="727"/>
      <c r="AQ11" s="728"/>
      <c r="AR11" s="729"/>
      <c r="AS11" s="730"/>
      <c r="AT11" s="721"/>
      <c r="AU11" s="722"/>
      <c r="AV11" s="651">
        <f t="shared" si="0"/>
        <v>0</v>
      </c>
      <c r="AW11" s="638">
        <f t="shared" si="1"/>
        <v>0</v>
      </c>
      <c r="AX11" s="721"/>
      <c r="AY11" s="722"/>
      <c r="AZ11" s="651">
        <f t="shared" si="2"/>
        <v>0</v>
      </c>
      <c r="BA11" s="638">
        <f t="shared" si="3"/>
        <v>0</v>
      </c>
    </row>
    <row r="12" spans="1:53" s="395" customFormat="1" ht="15" thickBot="1">
      <c r="A12" s="697" t="s">
        <v>10</v>
      </c>
      <c r="B12" s="626">
        <f aca="true" t="shared" si="4" ref="B12:AG12">SUM(B5:B11)</f>
        <v>1442336</v>
      </c>
      <c r="C12" s="627">
        <f t="shared" si="4"/>
        <v>1634153</v>
      </c>
      <c r="D12" s="626">
        <f t="shared" si="4"/>
        <v>35660</v>
      </c>
      <c r="E12" s="627">
        <f t="shared" si="4"/>
        <v>47011</v>
      </c>
      <c r="F12" s="626">
        <f t="shared" si="4"/>
        <v>175682</v>
      </c>
      <c r="G12" s="627">
        <f t="shared" si="4"/>
        <v>167022</v>
      </c>
      <c r="H12" s="626">
        <f t="shared" si="4"/>
        <v>44738471</v>
      </c>
      <c r="I12" s="627">
        <f t="shared" si="4"/>
        <v>43774126</v>
      </c>
      <c r="J12" s="626">
        <f t="shared" si="4"/>
        <v>99939</v>
      </c>
      <c r="K12" s="627">
        <f t="shared" si="4"/>
        <v>53891</v>
      </c>
      <c r="L12" s="626">
        <f t="shared" si="4"/>
        <v>23169</v>
      </c>
      <c r="M12" s="627">
        <f t="shared" si="4"/>
        <v>116936</v>
      </c>
      <c r="N12" s="626">
        <f t="shared" si="4"/>
        <v>6927536</v>
      </c>
      <c r="O12" s="627">
        <f t="shared" si="4"/>
        <v>11090248</v>
      </c>
      <c r="P12" s="626">
        <f>SUM(P5:P11)</f>
        <v>412957</v>
      </c>
      <c r="Q12" s="627">
        <f>SUM(Q5:Q11)</f>
        <v>539510</v>
      </c>
      <c r="R12" s="626">
        <f t="shared" si="4"/>
        <v>863986</v>
      </c>
      <c r="S12" s="627">
        <f t="shared" si="4"/>
        <v>500901</v>
      </c>
      <c r="T12" s="626">
        <f t="shared" si="4"/>
        <v>245642</v>
      </c>
      <c r="U12" s="627">
        <f t="shared" si="4"/>
        <v>504289</v>
      </c>
      <c r="V12" s="626">
        <f t="shared" si="4"/>
        <v>14226737</v>
      </c>
      <c r="W12" s="627">
        <f t="shared" si="4"/>
        <v>19774194</v>
      </c>
      <c r="X12" s="626">
        <f t="shared" si="4"/>
        <v>1229885</v>
      </c>
      <c r="Y12" s="627">
        <f t="shared" si="4"/>
        <v>2059132</v>
      </c>
      <c r="Z12" s="626">
        <f t="shared" si="4"/>
        <v>616067</v>
      </c>
      <c r="AA12" s="719">
        <f t="shared" si="4"/>
        <v>396354</v>
      </c>
      <c r="AB12" s="626">
        <f t="shared" si="4"/>
        <v>3427526</v>
      </c>
      <c r="AC12" s="627">
        <f t="shared" si="4"/>
        <v>3602204</v>
      </c>
      <c r="AD12" s="626">
        <f t="shared" si="4"/>
        <v>9022367</v>
      </c>
      <c r="AE12" s="627">
        <f t="shared" si="4"/>
        <v>10528275</v>
      </c>
      <c r="AF12" s="626">
        <f t="shared" si="4"/>
        <v>1442875</v>
      </c>
      <c r="AG12" s="627">
        <f t="shared" si="4"/>
        <v>1770093</v>
      </c>
      <c r="AH12" s="626">
        <f aca="true" t="shared" si="5" ref="AH12:AU12">SUM(AH5:AH11)</f>
        <v>1022530</v>
      </c>
      <c r="AI12" s="627">
        <f t="shared" si="5"/>
        <v>1433642</v>
      </c>
      <c r="AJ12" s="626">
        <f t="shared" si="5"/>
        <v>3362729</v>
      </c>
      <c r="AK12" s="627">
        <f t="shared" si="5"/>
        <v>2665351</v>
      </c>
      <c r="AL12" s="626">
        <f t="shared" si="5"/>
        <v>86207</v>
      </c>
      <c r="AM12" s="627">
        <f t="shared" si="5"/>
        <v>4568</v>
      </c>
      <c r="AN12" s="626">
        <f t="shared" si="5"/>
        <v>7916239</v>
      </c>
      <c r="AO12" s="627">
        <f t="shared" si="5"/>
        <v>3668800</v>
      </c>
      <c r="AP12" s="626">
        <f t="shared" si="5"/>
        <v>8726503</v>
      </c>
      <c r="AQ12" s="627">
        <f t="shared" si="5"/>
        <v>22097864</v>
      </c>
      <c r="AR12" s="626">
        <f t="shared" si="5"/>
        <v>2854829</v>
      </c>
      <c r="AS12" s="627">
        <f t="shared" si="5"/>
        <v>240241</v>
      </c>
      <c r="AT12" s="626">
        <f t="shared" si="5"/>
        <v>406722</v>
      </c>
      <c r="AU12" s="627">
        <f t="shared" si="5"/>
        <v>94633</v>
      </c>
      <c r="AV12" s="628">
        <f t="shared" si="0"/>
        <v>106292025</v>
      </c>
      <c r="AW12" s="720">
        <f t="shared" si="1"/>
        <v>123700744</v>
      </c>
      <c r="AX12" s="632">
        <f>SUM(AX5:AX11)</f>
        <v>62619715</v>
      </c>
      <c r="AY12" s="633">
        <f>SUM(AY5:AY11)</f>
        <v>53174202</v>
      </c>
      <c r="AZ12" s="628">
        <f t="shared" si="2"/>
        <v>168911740</v>
      </c>
      <c r="BA12" s="720">
        <f t="shared" si="3"/>
        <v>176874946</v>
      </c>
    </row>
    <row r="13" spans="1:53" ht="15" thickBot="1">
      <c r="A13" s="352" t="s">
        <v>11</v>
      </c>
      <c r="B13" s="731"/>
      <c r="C13" s="732"/>
      <c r="D13" s="733"/>
      <c r="E13" s="734"/>
      <c r="F13" s="733"/>
      <c r="G13" s="734"/>
      <c r="H13" s="733"/>
      <c r="I13" s="734"/>
      <c r="J13" s="735"/>
      <c r="K13" s="736"/>
      <c r="L13" s="733"/>
      <c r="M13" s="734"/>
      <c r="N13" s="733"/>
      <c r="O13" s="734"/>
      <c r="P13" s="733"/>
      <c r="Q13" s="734"/>
      <c r="R13" s="733"/>
      <c r="S13" s="734"/>
      <c r="T13" s="733"/>
      <c r="U13" s="734"/>
      <c r="V13" s="733"/>
      <c r="W13" s="734"/>
      <c r="X13" s="733"/>
      <c r="Y13" s="734"/>
      <c r="Z13" s="733"/>
      <c r="AA13" s="737"/>
      <c r="AB13" s="738"/>
      <c r="AC13" s="739"/>
      <c r="AD13" s="733"/>
      <c r="AE13" s="734"/>
      <c r="AF13" s="733"/>
      <c r="AG13" s="734"/>
      <c r="AH13" s="733"/>
      <c r="AI13" s="734"/>
      <c r="AJ13" s="733"/>
      <c r="AK13" s="734"/>
      <c r="AL13" s="735"/>
      <c r="AM13" s="736"/>
      <c r="AN13" s="740"/>
      <c r="AO13" s="741"/>
      <c r="AP13" s="742"/>
      <c r="AQ13" s="743"/>
      <c r="AR13" s="744">
        <v>0</v>
      </c>
      <c r="AS13" s="745"/>
      <c r="AT13" s="733"/>
      <c r="AU13" s="734"/>
      <c r="AV13" s="746">
        <f t="shared" si="0"/>
        <v>0</v>
      </c>
      <c r="AW13" s="747">
        <f t="shared" si="1"/>
        <v>0</v>
      </c>
      <c r="AX13" s="744"/>
      <c r="AY13" s="745"/>
      <c r="AZ13" s="746">
        <f t="shared" si="2"/>
        <v>0</v>
      </c>
      <c r="BA13" s="747">
        <f t="shared" si="3"/>
        <v>0</v>
      </c>
    </row>
    <row r="14" spans="1:53" s="395" customFormat="1" ht="15" thickBot="1">
      <c r="A14" s="697" t="s">
        <v>12</v>
      </c>
      <c r="B14" s="626">
        <f aca="true" t="shared" si="6" ref="B14:AG14">B12+B13</f>
        <v>1442336</v>
      </c>
      <c r="C14" s="627">
        <f t="shared" si="6"/>
        <v>1634153</v>
      </c>
      <c r="D14" s="626">
        <f t="shared" si="6"/>
        <v>35660</v>
      </c>
      <c r="E14" s="627">
        <f t="shared" si="6"/>
        <v>47011</v>
      </c>
      <c r="F14" s="626">
        <f t="shared" si="6"/>
        <v>175682</v>
      </c>
      <c r="G14" s="627">
        <f t="shared" si="6"/>
        <v>167022</v>
      </c>
      <c r="H14" s="626">
        <f t="shared" si="6"/>
        <v>44738471</v>
      </c>
      <c r="I14" s="627">
        <f t="shared" si="6"/>
        <v>43774126</v>
      </c>
      <c r="J14" s="626">
        <f t="shared" si="6"/>
        <v>99939</v>
      </c>
      <c r="K14" s="627">
        <f t="shared" si="6"/>
        <v>53891</v>
      </c>
      <c r="L14" s="626">
        <f t="shared" si="6"/>
        <v>23169</v>
      </c>
      <c r="M14" s="627">
        <f t="shared" si="6"/>
        <v>116936</v>
      </c>
      <c r="N14" s="626">
        <f t="shared" si="6"/>
        <v>6927536</v>
      </c>
      <c r="O14" s="627">
        <f t="shared" si="6"/>
        <v>11090248</v>
      </c>
      <c r="P14" s="626">
        <f>P12+P13</f>
        <v>412957</v>
      </c>
      <c r="Q14" s="627">
        <f>Q12+Q13</f>
        <v>539510</v>
      </c>
      <c r="R14" s="626">
        <f t="shared" si="6"/>
        <v>863986</v>
      </c>
      <c r="S14" s="627">
        <f t="shared" si="6"/>
        <v>500901</v>
      </c>
      <c r="T14" s="626">
        <f t="shared" si="6"/>
        <v>245642</v>
      </c>
      <c r="U14" s="627">
        <f t="shared" si="6"/>
        <v>504289</v>
      </c>
      <c r="V14" s="626">
        <f t="shared" si="6"/>
        <v>14226737</v>
      </c>
      <c r="W14" s="627">
        <f t="shared" si="6"/>
        <v>19774194</v>
      </c>
      <c r="X14" s="626">
        <f t="shared" si="6"/>
        <v>1229885</v>
      </c>
      <c r="Y14" s="627">
        <f t="shared" si="6"/>
        <v>2059132</v>
      </c>
      <c r="Z14" s="626">
        <f t="shared" si="6"/>
        <v>616067</v>
      </c>
      <c r="AA14" s="719">
        <f t="shared" si="6"/>
        <v>396354</v>
      </c>
      <c r="AB14" s="626">
        <f t="shared" si="6"/>
        <v>3427526</v>
      </c>
      <c r="AC14" s="627">
        <f t="shared" si="6"/>
        <v>3602204</v>
      </c>
      <c r="AD14" s="626">
        <f t="shared" si="6"/>
        <v>9022367</v>
      </c>
      <c r="AE14" s="627">
        <f t="shared" si="6"/>
        <v>10528275</v>
      </c>
      <c r="AF14" s="626">
        <f t="shared" si="6"/>
        <v>1442875</v>
      </c>
      <c r="AG14" s="627">
        <f t="shared" si="6"/>
        <v>1770093</v>
      </c>
      <c r="AH14" s="626">
        <f aca="true" t="shared" si="7" ref="AH14:AU14">AH12+AH13</f>
        <v>1022530</v>
      </c>
      <c r="AI14" s="627">
        <f t="shared" si="7"/>
        <v>1433642</v>
      </c>
      <c r="AJ14" s="626">
        <f t="shared" si="7"/>
        <v>3362729</v>
      </c>
      <c r="AK14" s="627">
        <f t="shared" si="7"/>
        <v>2665351</v>
      </c>
      <c r="AL14" s="626">
        <f t="shared" si="7"/>
        <v>86207</v>
      </c>
      <c r="AM14" s="627">
        <f t="shared" si="7"/>
        <v>4568</v>
      </c>
      <c r="AN14" s="626">
        <f t="shared" si="7"/>
        <v>7916239</v>
      </c>
      <c r="AO14" s="627">
        <f t="shared" si="7"/>
        <v>3668800</v>
      </c>
      <c r="AP14" s="626">
        <f t="shared" si="7"/>
        <v>8726503</v>
      </c>
      <c r="AQ14" s="627">
        <f t="shared" si="7"/>
        <v>22097864</v>
      </c>
      <c r="AR14" s="626">
        <f t="shared" si="7"/>
        <v>2854829</v>
      </c>
      <c r="AS14" s="627">
        <f t="shared" si="7"/>
        <v>240241</v>
      </c>
      <c r="AT14" s="626">
        <f t="shared" si="7"/>
        <v>406722</v>
      </c>
      <c r="AU14" s="627">
        <f t="shared" si="7"/>
        <v>94633</v>
      </c>
      <c r="AV14" s="628">
        <f t="shared" si="0"/>
        <v>106292025</v>
      </c>
      <c r="AW14" s="720">
        <f t="shared" si="1"/>
        <v>123700744</v>
      </c>
      <c r="AX14" s="632">
        <f>AX12+AX13</f>
        <v>62619715</v>
      </c>
      <c r="AY14" s="633">
        <f>AY12+AY13</f>
        <v>53174202</v>
      </c>
      <c r="AZ14" s="628">
        <f t="shared" si="2"/>
        <v>168911740</v>
      </c>
      <c r="BA14" s="720">
        <f t="shared" si="3"/>
        <v>176874946</v>
      </c>
    </row>
  </sheetData>
  <sheetProtection/>
  <mergeCells count="29">
    <mergeCell ref="T3:U3"/>
    <mergeCell ref="V3:W3"/>
    <mergeCell ref="R3:S3"/>
    <mergeCell ref="AH3:AI3"/>
    <mergeCell ref="AF3:AG3"/>
    <mergeCell ref="AD3:AE3"/>
    <mergeCell ref="AB3:AC3"/>
    <mergeCell ref="Z3:AA3"/>
    <mergeCell ref="X3:Y3"/>
    <mergeCell ref="D3:E3"/>
    <mergeCell ref="AZ3:BA3"/>
    <mergeCell ref="AX3:AY3"/>
    <mergeCell ref="AV3:AW3"/>
    <mergeCell ref="AT3:AU3"/>
    <mergeCell ref="AR3:AS3"/>
    <mergeCell ref="AP3:AQ3"/>
    <mergeCell ref="AN3:AO3"/>
    <mergeCell ref="AL3:AM3"/>
    <mergeCell ref="AJ3:AK3"/>
    <mergeCell ref="B3:C3"/>
    <mergeCell ref="P3:Q3"/>
    <mergeCell ref="N3:O3"/>
    <mergeCell ref="L3:M3"/>
    <mergeCell ref="J3:K3"/>
    <mergeCell ref="A1:AY1"/>
    <mergeCell ref="A2:AY2"/>
    <mergeCell ref="A3:A4"/>
    <mergeCell ref="H3:I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W6" sqref="AW6"/>
    </sheetView>
  </sheetViews>
  <sheetFormatPr defaultColWidth="9.140625" defaultRowHeight="15"/>
  <cols>
    <col min="1" max="1" width="71.28125" style="74" customWidth="1"/>
    <col min="2" max="53" width="12.421875" style="74" bestFit="1" customWidth="1"/>
    <col min="54" max="16384" width="9.140625" style="74" customWidth="1"/>
  </cols>
  <sheetData>
    <row r="1" spans="1:51" ht="16.5">
      <c r="A1" s="1092" t="s">
        <v>244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  <c r="AH1" s="1092"/>
      <c r="AI1" s="1092"/>
      <c r="AJ1" s="1092"/>
      <c r="AK1" s="1092"/>
      <c r="AL1" s="1092"/>
      <c r="AM1" s="1092"/>
      <c r="AN1" s="1092"/>
      <c r="AO1" s="1092"/>
      <c r="AP1" s="1092"/>
      <c r="AQ1" s="1092"/>
      <c r="AR1" s="1092"/>
      <c r="AS1" s="1092"/>
      <c r="AT1" s="1092"/>
      <c r="AU1" s="1092"/>
      <c r="AV1" s="1092"/>
      <c r="AW1" s="1092"/>
      <c r="AX1" s="1092"/>
      <c r="AY1" s="1092"/>
    </row>
    <row r="2" spans="1:51" s="545" customFormat="1" ht="17.25" thickBot="1">
      <c r="A2" s="1114" t="s">
        <v>115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4"/>
      <c r="S2" s="1114"/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4"/>
      <c r="AG2" s="1114"/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  <c r="AT2" s="1114"/>
      <c r="AU2" s="1114"/>
      <c r="AV2" s="1114"/>
      <c r="AW2" s="1114"/>
      <c r="AX2" s="1114"/>
      <c r="AY2" s="1114"/>
    </row>
    <row r="3" spans="1:53" s="822" customFormat="1" ht="52.5" customHeight="1" thickBot="1">
      <c r="A3" s="1115" t="s">
        <v>14</v>
      </c>
      <c r="B3" s="1121" t="s">
        <v>117</v>
      </c>
      <c r="C3" s="1119"/>
      <c r="D3" s="1121" t="s">
        <v>118</v>
      </c>
      <c r="E3" s="1120"/>
      <c r="F3" s="1121" t="s">
        <v>119</v>
      </c>
      <c r="G3" s="1119"/>
      <c r="H3" s="1121" t="s">
        <v>120</v>
      </c>
      <c r="I3" s="1120"/>
      <c r="J3" s="1119" t="s">
        <v>121</v>
      </c>
      <c r="K3" s="1120"/>
      <c r="L3" s="1121" t="s">
        <v>122</v>
      </c>
      <c r="M3" s="1120"/>
      <c r="N3" s="1119" t="s">
        <v>123</v>
      </c>
      <c r="O3" s="1120"/>
      <c r="P3" s="1121" t="s">
        <v>124</v>
      </c>
      <c r="Q3" s="1120"/>
      <c r="R3" s="1121" t="s">
        <v>125</v>
      </c>
      <c r="S3" s="1120"/>
      <c r="T3" s="1121" t="s">
        <v>126</v>
      </c>
      <c r="U3" s="1120"/>
      <c r="V3" s="1119" t="s">
        <v>127</v>
      </c>
      <c r="W3" s="1120"/>
      <c r="X3" s="1121" t="s">
        <v>128</v>
      </c>
      <c r="Y3" s="1120"/>
      <c r="Z3" s="1119" t="s">
        <v>129</v>
      </c>
      <c r="AA3" s="1120"/>
      <c r="AB3" s="1119" t="s">
        <v>130</v>
      </c>
      <c r="AC3" s="1119"/>
      <c r="AD3" s="1117" t="s">
        <v>131</v>
      </c>
      <c r="AE3" s="1118"/>
      <c r="AF3" s="1119" t="s">
        <v>132</v>
      </c>
      <c r="AG3" s="1119"/>
      <c r="AH3" s="1121" t="s">
        <v>133</v>
      </c>
      <c r="AI3" s="1120"/>
      <c r="AJ3" s="1119" t="s">
        <v>134</v>
      </c>
      <c r="AK3" s="1120"/>
      <c r="AL3" s="1117" t="s">
        <v>135</v>
      </c>
      <c r="AM3" s="1118"/>
      <c r="AN3" s="1121" t="s">
        <v>136</v>
      </c>
      <c r="AO3" s="1120"/>
      <c r="AP3" s="1119" t="s">
        <v>137</v>
      </c>
      <c r="AQ3" s="1120"/>
      <c r="AR3" s="1121" t="s">
        <v>138</v>
      </c>
      <c r="AS3" s="1120"/>
      <c r="AT3" s="1119" t="s">
        <v>139</v>
      </c>
      <c r="AU3" s="1120"/>
      <c r="AV3" s="1119" t="s">
        <v>1</v>
      </c>
      <c r="AW3" s="1119"/>
      <c r="AX3" s="1117" t="s">
        <v>140</v>
      </c>
      <c r="AY3" s="1118"/>
      <c r="AZ3" s="1117" t="s">
        <v>2</v>
      </c>
      <c r="BA3" s="1118"/>
    </row>
    <row r="4" spans="1:53" s="421" customFormat="1" ht="17.25" thickBot="1">
      <c r="A4" s="1116"/>
      <c r="B4" s="695" t="s">
        <v>253</v>
      </c>
      <c r="C4" s="696" t="s">
        <v>254</v>
      </c>
      <c r="D4" s="695" t="s">
        <v>253</v>
      </c>
      <c r="E4" s="696" t="s">
        <v>254</v>
      </c>
      <c r="F4" s="695" t="s">
        <v>253</v>
      </c>
      <c r="G4" s="696" t="s">
        <v>254</v>
      </c>
      <c r="H4" s="695" t="s">
        <v>253</v>
      </c>
      <c r="I4" s="696" t="s">
        <v>254</v>
      </c>
      <c r="J4" s="695" t="s">
        <v>253</v>
      </c>
      <c r="K4" s="696" t="s">
        <v>254</v>
      </c>
      <c r="L4" s="695" t="s">
        <v>253</v>
      </c>
      <c r="M4" s="696" t="s">
        <v>254</v>
      </c>
      <c r="N4" s="695" t="s">
        <v>253</v>
      </c>
      <c r="O4" s="696" t="s">
        <v>254</v>
      </c>
      <c r="P4" s="695" t="s">
        <v>253</v>
      </c>
      <c r="Q4" s="696" t="s">
        <v>254</v>
      </c>
      <c r="R4" s="695" t="s">
        <v>253</v>
      </c>
      <c r="S4" s="696" t="s">
        <v>254</v>
      </c>
      <c r="T4" s="695" t="s">
        <v>253</v>
      </c>
      <c r="U4" s="696" t="s">
        <v>254</v>
      </c>
      <c r="V4" s="695" t="s">
        <v>253</v>
      </c>
      <c r="W4" s="696" t="s">
        <v>254</v>
      </c>
      <c r="X4" s="695" t="s">
        <v>253</v>
      </c>
      <c r="Y4" s="696" t="s">
        <v>254</v>
      </c>
      <c r="Z4" s="695" t="s">
        <v>253</v>
      </c>
      <c r="AA4" s="696" t="s">
        <v>254</v>
      </c>
      <c r="AB4" s="695" t="s">
        <v>253</v>
      </c>
      <c r="AC4" s="696" t="s">
        <v>254</v>
      </c>
      <c r="AD4" s="695" t="s">
        <v>253</v>
      </c>
      <c r="AE4" s="696" t="s">
        <v>254</v>
      </c>
      <c r="AF4" s="695" t="s">
        <v>253</v>
      </c>
      <c r="AG4" s="696" t="s">
        <v>254</v>
      </c>
      <c r="AH4" s="695" t="s">
        <v>253</v>
      </c>
      <c r="AI4" s="696" t="s">
        <v>254</v>
      </c>
      <c r="AJ4" s="695" t="s">
        <v>253</v>
      </c>
      <c r="AK4" s="696" t="s">
        <v>254</v>
      </c>
      <c r="AL4" s="695" t="s">
        <v>253</v>
      </c>
      <c r="AM4" s="696" t="s">
        <v>254</v>
      </c>
      <c r="AN4" s="695" t="s">
        <v>253</v>
      </c>
      <c r="AO4" s="696" t="s">
        <v>254</v>
      </c>
      <c r="AP4" s="695" t="s">
        <v>253</v>
      </c>
      <c r="AQ4" s="696" t="s">
        <v>254</v>
      </c>
      <c r="AR4" s="695" t="s">
        <v>253</v>
      </c>
      <c r="AS4" s="696" t="s">
        <v>254</v>
      </c>
      <c r="AT4" s="695" t="s">
        <v>253</v>
      </c>
      <c r="AU4" s="696" t="s">
        <v>254</v>
      </c>
      <c r="AV4" s="695" t="s">
        <v>253</v>
      </c>
      <c r="AW4" s="844" t="s">
        <v>254</v>
      </c>
      <c r="AX4" s="851" t="s">
        <v>253</v>
      </c>
      <c r="AY4" s="696" t="s">
        <v>254</v>
      </c>
      <c r="AZ4" s="695" t="s">
        <v>253</v>
      </c>
      <c r="BA4" s="696" t="s">
        <v>254</v>
      </c>
    </row>
    <row r="5" spans="1:53" ht="17.25">
      <c r="A5" s="248" t="s">
        <v>3</v>
      </c>
      <c r="B5" s="365">
        <v>567.89</v>
      </c>
      <c r="C5" s="366">
        <v>708.63</v>
      </c>
      <c r="D5" s="367">
        <v>52.33</v>
      </c>
      <c r="E5" s="370">
        <v>7.3</v>
      </c>
      <c r="F5" s="368">
        <v>83.6</v>
      </c>
      <c r="G5" s="369">
        <v>100.46</v>
      </c>
      <c r="H5" s="367">
        <v>803</v>
      </c>
      <c r="I5" s="370">
        <v>903</v>
      </c>
      <c r="J5" s="371">
        <v>118</v>
      </c>
      <c r="K5" s="370">
        <v>141</v>
      </c>
      <c r="L5" s="367"/>
      <c r="M5" s="370"/>
      <c r="N5" s="371">
        <v>52.19</v>
      </c>
      <c r="O5" s="370">
        <v>87.16</v>
      </c>
      <c r="P5" s="373">
        <v>82.99</v>
      </c>
      <c r="Q5" s="374">
        <v>113.99</v>
      </c>
      <c r="R5" s="45">
        <v>372.74</v>
      </c>
      <c r="S5" s="55">
        <v>597.72</v>
      </c>
      <c r="T5" s="372">
        <v>61.9</v>
      </c>
      <c r="U5" s="55">
        <v>81.21</v>
      </c>
      <c r="V5" s="54">
        <v>492.21</v>
      </c>
      <c r="W5" s="55">
        <v>650.72</v>
      </c>
      <c r="X5" s="372">
        <v>1323.3</v>
      </c>
      <c r="Y5" s="55">
        <v>1639.6</v>
      </c>
      <c r="Z5" s="811">
        <v>55.05</v>
      </c>
      <c r="AA5" s="375">
        <v>47.35</v>
      </c>
      <c r="AB5" s="368">
        <v>11.92</v>
      </c>
      <c r="AC5" s="369">
        <v>12.82</v>
      </c>
      <c r="AD5" s="367">
        <v>385.6</v>
      </c>
      <c r="AE5" s="370">
        <v>523.19</v>
      </c>
      <c r="AF5" s="368">
        <v>726</v>
      </c>
      <c r="AG5" s="369">
        <v>826</v>
      </c>
      <c r="AH5" s="370">
        <v>92.82</v>
      </c>
      <c r="AI5" s="370">
        <v>64.62</v>
      </c>
      <c r="AJ5" s="368">
        <v>585.61</v>
      </c>
      <c r="AK5" s="369">
        <v>477.17</v>
      </c>
      <c r="AL5" s="367">
        <v>43.02</v>
      </c>
      <c r="AM5" s="370">
        <v>44.66</v>
      </c>
      <c r="AN5" s="802">
        <v>1881</v>
      </c>
      <c r="AO5" s="803">
        <v>2204</v>
      </c>
      <c r="AP5" s="798">
        <v>45.66</v>
      </c>
      <c r="AQ5" s="376">
        <v>55.55</v>
      </c>
      <c r="AR5" s="817">
        <v>22.81</v>
      </c>
      <c r="AS5" s="818">
        <v>13.51</v>
      </c>
      <c r="AT5" s="371">
        <v>268.4</v>
      </c>
      <c r="AU5" s="370">
        <v>741.89</v>
      </c>
      <c r="AV5" s="378">
        <f aca="true" t="shared" si="0" ref="AV5:AV18">SUM(B5+D5+F5+H5+J5+L5+N5+P5+R5+T5+V5+X5+Z5+AB5+AD5+AF5+AH5+AJ5+AL5+AN5+AP5+AR5+AT5)</f>
        <v>8128.040000000001</v>
      </c>
      <c r="AW5" s="845">
        <f aca="true" t="shared" si="1" ref="AW5:AW18">SUM(C5+E5+G5+I5+K5+M5+O5+Q5+S5+U5+W5+Y5+AA5+AC5+AE5+AG5+AI5+AK5+AM5+AO5+AQ5+AS5+AU5)</f>
        <v>10041.550000000001</v>
      </c>
      <c r="AX5" s="852">
        <v>31688.41</v>
      </c>
      <c r="AY5" s="377">
        <v>43814.02</v>
      </c>
      <c r="AZ5" s="379">
        <f aca="true" t="shared" si="2" ref="AZ5:AZ18">AV5+AX5</f>
        <v>39816.45</v>
      </c>
      <c r="BA5" s="380">
        <f aca="true" t="shared" si="3" ref="BA5:BA18">AW5+AY5</f>
        <v>53855.57</v>
      </c>
    </row>
    <row r="6" spans="1:53" ht="17.25">
      <c r="A6" s="116" t="s">
        <v>4</v>
      </c>
      <c r="B6" s="75">
        <v>59.72</v>
      </c>
      <c r="C6" s="76">
        <v>94.49</v>
      </c>
      <c r="D6" s="77"/>
      <c r="E6" s="80">
        <v>0.29</v>
      </c>
      <c r="F6" s="78">
        <v>61.59</v>
      </c>
      <c r="G6" s="79">
        <v>17.08</v>
      </c>
      <c r="H6" s="77">
        <v>14</v>
      </c>
      <c r="I6" s="80">
        <v>41</v>
      </c>
      <c r="J6" s="83"/>
      <c r="K6" s="80"/>
      <c r="L6" s="77">
        <v>505.09</v>
      </c>
      <c r="M6" s="80">
        <v>626.17</v>
      </c>
      <c r="N6" s="83">
        <v>0.02</v>
      </c>
      <c r="O6" s="80">
        <v>0.92</v>
      </c>
      <c r="P6" s="81">
        <v>18.78</v>
      </c>
      <c r="Q6" s="82">
        <v>38.75</v>
      </c>
      <c r="R6" s="2">
        <v>6.1</v>
      </c>
      <c r="S6" s="3">
        <v>18.96</v>
      </c>
      <c r="T6" s="1"/>
      <c r="U6" s="3">
        <v>4.8</v>
      </c>
      <c r="V6" s="21">
        <v>2490.66</v>
      </c>
      <c r="W6" s="3">
        <v>2566.42</v>
      </c>
      <c r="X6" s="1">
        <v>3062.1</v>
      </c>
      <c r="Y6" s="3">
        <v>3981.7</v>
      </c>
      <c r="Z6" s="812">
        <v>395.12</v>
      </c>
      <c r="AA6" s="4">
        <v>538.43</v>
      </c>
      <c r="AB6" s="78">
        <v>217.72</v>
      </c>
      <c r="AC6" s="79">
        <v>385.98</v>
      </c>
      <c r="AD6" s="77">
        <v>593.94</v>
      </c>
      <c r="AE6" s="80">
        <v>808.94</v>
      </c>
      <c r="AF6" s="78">
        <v>1505</v>
      </c>
      <c r="AG6" s="79">
        <v>2044</v>
      </c>
      <c r="AH6" s="80">
        <v>536.84</v>
      </c>
      <c r="AI6" s="80">
        <v>651.41</v>
      </c>
      <c r="AJ6" s="78"/>
      <c r="AK6" s="79">
        <v>1.39</v>
      </c>
      <c r="AL6" s="77"/>
      <c r="AM6" s="80"/>
      <c r="AN6" s="804">
        <v>3024</v>
      </c>
      <c r="AO6" s="90">
        <v>4185</v>
      </c>
      <c r="AP6" s="799"/>
      <c r="AQ6" s="84"/>
      <c r="AR6" s="234">
        <v>405.7</v>
      </c>
      <c r="AS6" s="308">
        <v>625.81</v>
      </c>
      <c r="AT6" s="83">
        <v>279.57</v>
      </c>
      <c r="AU6" s="80">
        <v>502.63</v>
      </c>
      <c r="AV6" s="86">
        <f aca="true" t="shared" si="4" ref="AV6:AW11">SUM(B6+D6+F6+H6+J6+L6+N6+P6+R6+T6+V6+X6+Z6+AB6+AD6+AF6+AH6+AJ6+AL6+AN6+AP6+AR6+AT6)</f>
        <v>13175.95</v>
      </c>
      <c r="AW6" s="846">
        <f t="shared" si="4"/>
        <v>17134.170000000002</v>
      </c>
      <c r="AX6" s="87">
        <v>716.62</v>
      </c>
      <c r="AY6" s="85">
        <v>1089.03</v>
      </c>
      <c r="AZ6" s="88">
        <f t="shared" si="2"/>
        <v>13892.570000000002</v>
      </c>
      <c r="BA6" s="249">
        <f t="shared" si="3"/>
        <v>18223.2</v>
      </c>
    </row>
    <row r="7" spans="1:53" ht="17.25">
      <c r="A7" s="116" t="s">
        <v>5</v>
      </c>
      <c r="B7" s="75">
        <v>16.89</v>
      </c>
      <c r="C7" s="76">
        <v>30.6</v>
      </c>
      <c r="D7" s="77">
        <v>5.24</v>
      </c>
      <c r="E7" s="80">
        <v>15.63</v>
      </c>
      <c r="F7" s="78">
        <v>0.03</v>
      </c>
      <c r="G7" s="79">
        <v>3.22</v>
      </c>
      <c r="H7" s="77">
        <v>10</v>
      </c>
      <c r="I7" s="80">
        <v>6</v>
      </c>
      <c r="J7" s="83">
        <v>4</v>
      </c>
      <c r="K7" s="80">
        <v>29</v>
      </c>
      <c r="L7" s="77"/>
      <c r="M7" s="80"/>
      <c r="N7" s="83">
        <v>42</v>
      </c>
      <c r="O7" s="80">
        <v>33.83</v>
      </c>
      <c r="P7" s="81">
        <v>11.93</v>
      </c>
      <c r="Q7" s="82">
        <v>16.78</v>
      </c>
      <c r="R7" s="2">
        <v>16.89</v>
      </c>
      <c r="S7" s="3">
        <v>23.36</v>
      </c>
      <c r="T7" s="1">
        <v>2.25</v>
      </c>
      <c r="U7" s="3">
        <v>12.13</v>
      </c>
      <c r="V7" s="21">
        <v>98.56</v>
      </c>
      <c r="W7" s="3">
        <v>181.53</v>
      </c>
      <c r="X7" s="1">
        <v>224.4</v>
      </c>
      <c r="Y7" s="3">
        <v>252.9</v>
      </c>
      <c r="Z7" s="812"/>
      <c r="AA7" s="4"/>
      <c r="AB7" s="78"/>
      <c r="AC7" s="79">
        <v>2.05</v>
      </c>
      <c r="AD7" s="77">
        <v>8.33</v>
      </c>
      <c r="AE7" s="80">
        <v>7.21</v>
      </c>
      <c r="AF7" s="78">
        <v>99</v>
      </c>
      <c r="AG7" s="79">
        <v>107</v>
      </c>
      <c r="AH7" s="80">
        <v>0.6</v>
      </c>
      <c r="AI7" s="80">
        <v>0.05</v>
      </c>
      <c r="AJ7" s="78">
        <v>36.97</v>
      </c>
      <c r="AK7" s="79">
        <v>27.64</v>
      </c>
      <c r="AL7" s="77">
        <v>0.03</v>
      </c>
      <c r="AM7" s="80">
        <v>0.02</v>
      </c>
      <c r="AN7" s="805">
        <v>23</v>
      </c>
      <c r="AO7" s="806">
        <v>23</v>
      </c>
      <c r="AP7" s="799">
        <v>163.53</v>
      </c>
      <c r="AQ7" s="84">
        <v>203.39</v>
      </c>
      <c r="AR7" s="234"/>
      <c r="AS7" s="308"/>
      <c r="AT7" s="83">
        <v>1.28</v>
      </c>
      <c r="AU7" s="80">
        <v>4.63</v>
      </c>
      <c r="AV7" s="86">
        <f t="shared" si="4"/>
        <v>764.93</v>
      </c>
      <c r="AW7" s="846">
        <f t="shared" si="4"/>
        <v>979.9699999999999</v>
      </c>
      <c r="AX7" s="87">
        <v>44.68</v>
      </c>
      <c r="AY7" s="85">
        <v>46.57</v>
      </c>
      <c r="AZ7" s="88">
        <f t="shared" si="2"/>
        <v>809.6099999999999</v>
      </c>
      <c r="BA7" s="249">
        <f t="shared" si="3"/>
        <v>1026.54</v>
      </c>
    </row>
    <row r="8" spans="1:53" ht="17.25">
      <c r="A8" s="116" t="s">
        <v>6</v>
      </c>
      <c r="B8" s="75">
        <v>18.13</v>
      </c>
      <c r="C8" s="76">
        <v>27.8</v>
      </c>
      <c r="D8" s="77">
        <v>21.32</v>
      </c>
      <c r="E8" s="80">
        <v>-0.49</v>
      </c>
      <c r="F8" s="78">
        <v>0.62</v>
      </c>
      <c r="G8" s="79">
        <v>0.96</v>
      </c>
      <c r="H8" s="77">
        <v>22</v>
      </c>
      <c r="I8" s="80">
        <v>18</v>
      </c>
      <c r="J8" s="83">
        <v>181</v>
      </c>
      <c r="K8" s="80">
        <v>166</v>
      </c>
      <c r="L8" s="77"/>
      <c r="M8" s="80"/>
      <c r="N8" s="83">
        <v>14.4</v>
      </c>
      <c r="O8" s="80">
        <v>-0.98</v>
      </c>
      <c r="P8" s="81">
        <v>25.83</v>
      </c>
      <c r="Q8" s="82">
        <v>6.85</v>
      </c>
      <c r="R8" s="2">
        <v>120.89</v>
      </c>
      <c r="S8" s="3">
        <v>126.77</v>
      </c>
      <c r="T8" s="1">
        <v>30.37</v>
      </c>
      <c r="U8" s="3">
        <v>39.64</v>
      </c>
      <c r="V8" s="21">
        <v>136.18</v>
      </c>
      <c r="W8" s="3">
        <v>177.69</v>
      </c>
      <c r="X8" s="1">
        <v>145</v>
      </c>
      <c r="Y8" s="3">
        <v>155.9</v>
      </c>
      <c r="Z8" s="812">
        <v>32.01</v>
      </c>
      <c r="AA8" s="4">
        <v>45.43</v>
      </c>
      <c r="AB8" s="78">
        <v>2.58</v>
      </c>
      <c r="AC8" s="79">
        <v>2.1</v>
      </c>
      <c r="AD8" s="77">
        <v>37.73</v>
      </c>
      <c r="AE8" s="80">
        <v>35.63</v>
      </c>
      <c r="AF8" s="78">
        <v>7</v>
      </c>
      <c r="AG8" s="79">
        <v>9</v>
      </c>
      <c r="AH8" s="80">
        <v>-0.05</v>
      </c>
      <c r="AI8" s="80">
        <v>2.81</v>
      </c>
      <c r="AJ8" s="78">
        <v>109.49</v>
      </c>
      <c r="AK8" s="79">
        <v>37.66</v>
      </c>
      <c r="AL8" s="77"/>
      <c r="AM8" s="80"/>
      <c r="AN8" s="805">
        <v>4</v>
      </c>
      <c r="AO8" s="806">
        <v>2</v>
      </c>
      <c r="AP8" s="799">
        <v>1.18</v>
      </c>
      <c r="AQ8" s="84">
        <v>10.08</v>
      </c>
      <c r="AR8" s="234">
        <v>-0.05</v>
      </c>
      <c r="AS8" s="308">
        <v>-0.0004</v>
      </c>
      <c r="AT8" s="83">
        <v>17.92</v>
      </c>
      <c r="AU8" s="80">
        <v>159.77</v>
      </c>
      <c r="AV8" s="86">
        <f t="shared" si="4"/>
        <v>927.5500000000001</v>
      </c>
      <c r="AW8" s="846">
        <f t="shared" si="4"/>
        <v>1022.6195999999999</v>
      </c>
      <c r="AX8" s="87">
        <v>5.42</v>
      </c>
      <c r="AY8" s="85">
        <v>16.59</v>
      </c>
      <c r="AZ8" s="88">
        <f t="shared" si="2"/>
        <v>932.97</v>
      </c>
      <c r="BA8" s="249">
        <f t="shared" si="3"/>
        <v>1039.2096</v>
      </c>
    </row>
    <row r="9" spans="1:53" ht="17.25">
      <c r="A9" s="116" t="s">
        <v>7</v>
      </c>
      <c r="B9" s="43">
        <v>0.56</v>
      </c>
      <c r="C9" s="91">
        <v>0.32</v>
      </c>
      <c r="D9" s="88"/>
      <c r="E9" s="94"/>
      <c r="F9" s="92"/>
      <c r="G9" s="93"/>
      <c r="H9" s="88">
        <v>1</v>
      </c>
      <c r="I9" s="94">
        <v>1</v>
      </c>
      <c r="J9" s="86"/>
      <c r="K9" s="94"/>
      <c r="L9" s="88"/>
      <c r="M9" s="94"/>
      <c r="N9" s="86"/>
      <c r="O9" s="94"/>
      <c r="P9" s="81">
        <v>0.01</v>
      </c>
      <c r="Q9" s="82">
        <v>0.01</v>
      </c>
      <c r="R9" s="6"/>
      <c r="S9" s="7"/>
      <c r="T9" s="5"/>
      <c r="U9" s="7"/>
      <c r="V9" s="36"/>
      <c r="W9" s="7"/>
      <c r="X9" s="5"/>
      <c r="Y9" s="7"/>
      <c r="Z9" s="812"/>
      <c r="AA9" s="4"/>
      <c r="AB9" s="92"/>
      <c r="AC9" s="93"/>
      <c r="AD9" s="610"/>
      <c r="AE9" s="95"/>
      <c r="AF9" s="92"/>
      <c r="AG9" s="93"/>
      <c r="AH9" s="94"/>
      <c r="AI9" s="94"/>
      <c r="AJ9" s="92"/>
      <c r="AK9" s="93"/>
      <c r="AL9" s="77"/>
      <c r="AM9" s="80"/>
      <c r="AN9" s="807"/>
      <c r="AO9" s="808"/>
      <c r="AP9" s="799"/>
      <c r="AQ9" s="84"/>
      <c r="AR9" s="234"/>
      <c r="AS9" s="308"/>
      <c r="AT9" s="86">
        <v>0.61</v>
      </c>
      <c r="AU9" s="94">
        <v>227.43</v>
      </c>
      <c r="AV9" s="86">
        <f t="shared" si="4"/>
        <v>2.18</v>
      </c>
      <c r="AW9" s="846">
        <f t="shared" si="4"/>
        <v>228.76000000000002</v>
      </c>
      <c r="AX9" s="88">
        <v>19.54</v>
      </c>
      <c r="AY9" s="94">
        <v>15.87</v>
      </c>
      <c r="AZ9" s="88">
        <f t="shared" si="2"/>
        <v>21.72</v>
      </c>
      <c r="BA9" s="249">
        <f t="shared" si="3"/>
        <v>244.63000000000002</v>
      </c>
    </row>
    <row r="10" spans="1:53" ht="17.25">
      <c r="A10" s="116" t="s">
        <v>15</v>
      </c>
      <c r="B10" s="75"/>
      <c r="C10" s="76"/>
      <c r="D10" s="77"/>
      <c r="E10" s="80"/>
      <c r="F10" s="78"/>
      <c r="G10" s="79"/>
      <c r="H10" s="77"/>
      <c r="I10" s="80"/>
      <c r="J10" s="83"/>
      <c r="K10" s="80"/>
      <c r="L10" s="77"/>
      <c r="M10" s="80"/>
      <c r="N10" s="83"/>
      <c r="O10" s="80"/>
      <c r="P10" s="81"/>
      <c r="Q10" s="82"/>
      <c r="R10" s="2"/>
      <c r="S10" s="3"/>
      <c r="T10" s="1"/>
      <c r="U10" s="3"/>
      <c r="V10" s="21">
        <v>0.02</v>
      </c>
      <c r="W10" s="3">
        <v>0.05</v>
      </c>
      <c r="X10" s="1"/>
      <c r="Y10" s="3"/>
      <c r="Z10" s="21"/>
      <c r="AA10" s="3"/>
      <c r="AB10" s="78">
        <v>0.42</v>
      </c>
      <c r="AC10" s="79">
        <v>1.1</v>
      </c>
      <c r="AD10" s="77"/>
      <c r="AE10" s="80"/>
      <c r="AF10" s="78"/>
      <c r="AG10" s="79"/>
      <c r="AH10" s="80"/>
      <c r="AI10" s="80"/>
      <c r="AJ10" s="78"/>
      <c r="AK10" s="79"/>
      <c r="AL10" s="77"/>
      <c r="AM10" s="80"/>
      <c r="AN10" s="805"/>
      <c r="AO10" s="806"/>
      <c r="AP10" s="799"/>
      <c r="AQ10" s="84"/>
      <c r="AR10" s="234"/>
      <c r="AS10" s="308"/>
      <c r="AT10" s="83"/>
      <c r="AU10" s="80"/>
      <c r="AV10" s="86">
        <f t="shared" si="4"/>
        <v>0.44</v>
      </c>
      <c r="AW10" s="846">
        <f t="shared" si="4"/>
        <v>1.1500000000000001</v>
      </c>
      <c r="AX10" s="87"/>
      <c r="AY10" s="85"/>
      <c r="AZ10" s="88">
        <f t="shared" si="2"/>
        <v>0.44</v>
      </c>
      <c r="BA10" s="249">
        <f t="shared" si="3"/>
        <v>1.1500000000000001</v>
      </c>
    </row>
    <row r="11" spans="1:53" ht="17.25">
      <c r="A11" s="116" t="s">
        <v>8</v>
      </c>
      <c r="B11" s="75">
        <v>49.08</v>
      </c>
      <c r="C11" s="76">
        <v>98.91</v>
      </c>
      <c r="D11" s="77">
        <v>57.36</v>
      </c>
      <c r="E11" s="80">
        <v>68.6</v>
      </c>
      <c r="F11" s="78">
        <v>19.34</v>
      </c>
      <c r="G11" s="79">
        <v>35.7</v>
      </c>
      <c r="H11" s="77">
        <v>41</v>
      </c>
      <c r="I11" s="80">
        <v>74</v>
      </c>
      <c r="J11" s="83">
        <v>59</v>
      </c>
      <c r="K11" s="80">
        <v>67</v>
      </c>
      <c r="L11" s="77">
        <v>0.77</v>
      </c>
      <c r="M11" s="80">
        <v>0.76</v>
      </c>
      <c r="N11" s="83">
        <v>67.43</v>
      </c>
      <c r="O11" s="80">
        <v>92.71</v>
      </c>
      <c r="P11" s="81">
        <v>6.76</v>
      </c>
      <c r="Q11" s="82">
        <v>6.34</v>
      </c>
      <c r="R11" s="2">
        <v>8.13</v>
      </c>
      <c r="S11" s="3">
        <v>23.52</v>
      </c>
      <c r="T11" s="1">
        <v>33.54</v>
      </c>
      <c r="U11" s="3">
        <v>47.85</v>
      </c>
      <c r="V11" s="21">
        <v>439.7</v>
      </c>
      <c r="W11" s="3">
        <v>623.11</v>
      </c>
      <c r="X11" s="1">
        <v>602</v>
      </c>
      <c r="Y11" s="3">
        <v>893.4</v>
      </c>
      <c r="Z11" s="21">
        <v>5.2</v>
      </c>
      <c r="AA11" s="3">
        <v>2.53</v>
      </c>
      <c r="AB11" s="78">
        <v>6.7</v>
      </c>
      <c r="AC11" s="79">
        <v>8.62</v>
      </c>
      <c r="AD11" s="77">
        <v>38.1</v>
      </c>
      <c r="AE11" s="80">
        <v>61.67</v>
      </c>
      <c r="AF11" s="78">
        <v>276</v>
      </c>
      <c r="AG11" s="79">
        <v>322</v>
      </c>
      <c r="AH11" s="80">
        <v>294.21</v>
      </c>
      <c r="AI11" s="80">
        <v>312.24</v>
      </c>
      <c r="AJ11" s="78">
        <v>181.83</v>
      </c>
      <c r="AK11" s="79">
        <v>167.52</v>
      </c>
      <c r="AL11" s="77"/>
      <c r="AM11" s="80"/>
      <c r="AN11" s="805">
        <v>46</v>
      </c>
      <c r="AO11" s="806">
        <v>53</v>
      </c>
      <c r="AP11" s="799">
        <v>185.17</v>
      </c>
      <c r="AQ11" s="84">
        <v>161.97</v>
      </c>
      <c r="AR11" s="234">
        <v>2.94</v>
      </c>
      <c r="AS11" s="308">
        <v>24.22</v>
      </c>
      <c r="AT11" s="83">
        <v>46.63</v>
      </c>
      <c r="AU11" s="80">
        <v>195.88</v>
      </c>
      <c r="AV11" s="86">
        <f t="shared" si="4"/>
        <v>2466.8900000000003</v>
      </c>
      <c r="AW11" s="846">
        <f t="shared" si="4"/>
        <v>3341.5499999999997</v>
      </c>
      <c r="AX11" s="87">
        <v>363.41</v>
      </c>
      <c r="AY11" s="85">
        <v>663.94</v>
      </c>
      <c r="AZ11" s="88">
        <f t="shared" si="2"/>
        <v>2830.3</v>
      </c>
      <c r="BA11" s="249">
        <f t="shared" si="3"/>
        <v>4005.49</v>
      </c>
    </row>
    <row r="12" spans="1:53" ht="17.25">
      <c r="A12" s="116" t="s">
        <v>16</v>
      </c>
      <c r="B12" s="75"/>
      <c r="C12" s="76"/>
      <c r="D12" s="77"/>
      <c r="E12" s="80"/>
      <c r="F12" s="78"/>
      <c r="G12" s="79"/>
      <c r="H12" s="77"/>
      <c r="I12" s="80"/>
      <c r="J12" s="83"/>
      <c r="K12" s="80"/>
      <c r="L12" s="77"/>
      <c r="M12" s="80"/>
      <c r="N12" s="83"/>
      <c r="O12" s="80"/>
      <c r="P12" s="81"/>
      <c r="Q12" s="82"/>
      <c r="R12" s="2"/>
      <c r="S12" s="3"/>
      <c r="T12" s="1"/>
      <c r="U12" s="3"/>
      <c r="V12" s="21"/>
      <c r="W12" s="3"/>
      <c r="X12" s="1"/>
      <c r="Y12" s="3"/>
      <c r="Z12" s="21"/>
      <c r="AA12" s="3"/>
      <c r="AB12" s="78"/>
      <c r="AC12" s="79"/>
      <c r="AD12" s="77"/>
      <c r="AE12" s="80"/>
      <c r="AF12" s="78"/>
      <c r="AG12" s="79"/>
      <c r="AH12" s="77"/>
      <c r="AI12" s="80"/>
      <c r="AJ12" s="78"/>
      <c r="AK12" s="79"/>
      <c r="AL12" s="77"/>
      <c r="AM12" s="80"/>
      <c r="AN12" s="805"/>
      <c r="AO12" s="806"/>
      <c r="AP12" s="799"/>
      <c r="AQ12" s="84"/>
      <c r="AR12" s="234"/>
      <c r="AS12" s="308"/>
      <c r="AT12" s="83"/>
      <c r="AU12" s="80"/>
      <c r="AV12" s="86">
        <f t="shared" si="0"/>
        <v>0</v>
      </c>
      <c r="AW12" s="846">
        <f t="shared" si="1"/>
        <v>0</v>
      </c>
      <c r="AX12" s="87"/>
      <c r="AY12" s="85"/>
      <c r="AZ12" s="88">
        <f t="shared" si="2"/>
        <v>0</v>
      </c>
      <c r="BA12" s="249">
        <f t="shared" si="3"/>
        <v>0</v>
      </c>
    </row>
    <row r="13" spans="1:53" ht="17.25">
      <c r="A13" s="116" t="s">
        <v>17</v>
      </c>
      <c r="B13" s="75"/>
      <c r="C13" s="76"/>
      <c r="D13" s="77"/>
      <c r="E13" s="80">
        <v>0.01</v>
      </c>
      <c r="F13" s="78"/>
      <c r="G13" s="79"/>
      <c r="H13" s="77"/>
      <c r="I13" s="80"/>
      <c r="J13" s="83"/>
      <c r="K13" s="80"/>
      <c r="L13" s="77"/>
      <c r="M13" s="80"/>
      <c r="N13" s="83"/>
      <c r="O13" s="80"/>
      <c r="P13" s="81"/>
      <c r="Q13" s="82"/>
      <c r="R13" s="2"/>
      <c r="S13" s="3">
        <v>0.95</v>
      </c>
      <c r="T13" s="1"/>
      <c r="U13" s="3"/>
      <c r="V13" s="21"/>
      <c r="W13" s="3">
        <v>1.57</v>
      </c>
      <c r="X13" s="1"/>
      <c r="Y13" s="3">
        <v>0.5</v>
      </c>
      <c r="Z13" s="21"/>
      <c r="AA13" s="3"/>
      <c r="AB13" s="78"/>
      <c r="AC13" s="79"/>
      <c r="AD13" s="77"/>
      <c r="AE13" s="80"/>
      <c r="AF13" s="78"/>
      <c r="AG13" s="79"/>
      <c r="AH13" s="77"/>
      <c r="AI13" s="80"/>
      <c r="AJ13" s="78"/>
      <c r="AK13" s="79"/>
      <c r="AL13" s="77"/>
      <c r="AM13" s="80"/>
      <c r="AN13" s="805"/>
      <c r="AO13" s="806"/>
      <c r="AP13" s="799"/>
      <c r="AQ13" s="84"/>
      <c r="AR13" s="87"/>
      <c r="AS13" s="85"/>
      <c r="AT13" s="83"/>
      <c r="AU13" s="80"/>
      <c r="AV13" s="86">
        <f t="shared" si="0"/>
        <v>0</v>
      </c>
      <c r="AW13" s="846">
        <f t="shared" si="1"/>
        <v>3.0300000000000002</v>
      </c>
      <c r="AX13" s="87"/>
      <c r="AY13" s="85"/>
      <c r="AZ13" s="88">
        <f t="shared" si="2"/>
        <v>0</v>
      </c>
      <c r="BA13" s="249">
        <f t="shared" si="3"/>
        <v>3.0300000000000002</v>
      </c>
    </row>
    <row r="14" spans="1:53" ht="17.25">
      <c r="A14" s="116" t="s">
        <v>164</v>
      </c>
      <c r="B14" s="75"/>
      <c r="C14" s="76"/>
      <c r="D14" s="77"/>
      <c r="E14" s="80"/>
      <c r="F14" s="78"/>
      <c r="G14" s="79"/>
      <c r="H14" s="77"/>
      <c r="I14" s="80">
        <v>23</v>
      </c>
      <c r="J14" s="83"/>
      <c r="K14" s="80"/>
      <c r="L14" s="77"/>
      <c r="M14" s="80"/>
      <c r="N14" s="83"/>
      <c r="O14" s="80"/>
      <c r="P14" s="81"/>
      <c r="Q14" s="82"/>
      <c r="R14" s="2"/>
      <c r="S14" s="3"/>
      <c r="T14" s="1"/>
      <c r="U14" s="3"/>
      <c r="V14" s="21"/>
      <c r="W14" s="3"/>
      <c r="X14" s="1"/>
      <c r="Y14" s="3">
        <v>50.4</v>
      </c>
      <c r="Z14" s="21"/>
      <c r="AA14" s="3"/>
      <c r="AB14" s="78"/>
      <c r="AC14" s="79"/>
      <c r="AD14" s="77"/>
      <c r="AE14" s="80"/>
      <c r="AF14" s="78"/>
      <c r="AG14" s="79"/>
      <c r="AH14" s="77"/>
      <c r="AI14" s="80"/>
      <c r="AJ14" s="78"/>
      <c r="AK14" s="79"/>
      <c r="AL14" s="77"/>
      <c r="AM14" s="80"/>
      <c r="AN14" s="805"/>
      <c r="AO14" s="806"/>
      <c r="AP14" s="799"/>
      <c r="AQ14" s="84"/>
      <c r="AR14" s="87"/>
      <c r="AS14" s="85"/>
      <c r="AT14" s="83"/>
      <c r="AU14" s="80"/>
      <c r="AV14" s="86">
        <f t="shared" si="0"/>
        <v>0</v>
      </c>
      <c r="AW14" s="846">
        <f t="shared" si="1"/>
        <v>73.4</v>
      </c>
      <c r="AX14" s="87"/>
      <c r="AY14" s="85"/>
      <c r="AZ14" s="88">
        <f t="shared" si="2"/>
        <v>0</v>
      </c>
      <c r="BA14" s="249">
        <f t="shared" si="3"/>
        <v>73.4</v>
      </c>
    </row>
    <row r="15" spans="1:53" ht="18" thickBot="1">
      <c r="A15" s="250" t="s">
        <v>19</v>
      </c>
      <c r="B15" s="273"/>
      <c r="C15" s="274"/>
      <c r="D15" s="251"/>
      <c r="E15" s="254"/>
      <c r="F15" s="252"/>
      <c r="G15" s="253"/>
      <c r="H15" s="251"/>
      <c r="I15" s="254"/>
      <c r="J15" s="255"/>
      <c r="K15" s="254"/>
      <c r="L15" s="251"/>
      <c r="M15" s="254"/>
      <c r="N15" s="255"/>
      <c r="O15" s="254"/>
      <c r="P15" s="276"/>
      <c r="Q15" s="277"/>
      <c r="R15" s="279"/>
      <c r="S15" s="280"/>
      <c r="T15" s="275"/>
      <c r="U15" s="280"/>
      <c r="V15" s="278"/>
      <c r="W15" s="280"/>
      <c r="X15" s="275"/>
      <c r="Y15" s="280">
        <v>4</v>
      </c>
      <c r="Z15" s="278"/>
      <c r="AA15" s="280"/>
      <c r="AB15" s="252"/>
      <c r="AC15" s="253"/>
      <c r="AD15" s="251"/>
      <c r="AE15" s="254"/>
      <c r="AF15" s="252"/>
      <c r="AG15" s="253"/>
      <c r="AH15" s="251"/>
      <c r="AI15" s="254"/>
      <c r="AJ15" s="252"/>
      <c r="AK15" s="253"/>
      <c r="AL15" s="251"/>
      <c r="AM15" s="254"/>
      <c r="AN15" s="809"/>
      <c r="AO15" s="810"/>
      <c r="AP15" s="800"/>
      <c r="AQ15" s="256"/>
      <c r="AR15" s="259"/>
      <c r="AS15" s="257"/>
      <c r="AT15" s="255"/>
      <c r="AU15" s="254"/>
      <c r="AV15" s="258">
        <f t="shared" si="0"/>
        <v>0</v>
      </c>
      <c r="AW15" s="847">
        <f t="shared" si="1"/>
        <v>4</v>
      </c>
      <c r="AX15" s="259"/>
      <c r="AY15" s="257"/>
      <c r="AZ15" s="260">
        <f t="shared" si="2"/>
        <v>0</v>
      </c>
      <c r="BA15" s="261">
        <f t="shared" si="3"/>
        <v>4</v>
      </c>
    </row>
    <row r="16" spans="1:53" s="431" customFormat="1" ht="18.75" thickBot="1">
      <c r="A16" s="422" t="s">
        <v>20</v>
      </c>
      <c r="B16" s="423">
        <f aca="true" t="shared" si="5" ref="B16:AG16">SUM(B5:B15)</f>
        <v>712.27</v>
      </c>
      <c r="C16" s="424">
        <f t="shared" si="5"/>
        <v>960.75</v>
      </c>
      <c r="D16" s="425">
        <f t="shared" si="5"/>
        <v>136.25</v>
      </c>
      <c r="E16" s="426">
        <f t="shared" si="5"/>
        <v>91.34</v>
      </c>
      <c r="F16" s="423">
        <f t="shared" si="5"/>
        <v>165.18</v>
      </c>
      <c r="G16" s="424">
        <f t="shared" si="5"/>
        <v>157.42</v>
      </c>
      <c r="H16" s="425">
        <f t="shared" si="5"/>
        <v>891</v>
      </c>
      <c r="I16" s="426">
        <f t="shared" si="5"/>
        <v>1066</v>
      </c>
      <c r="J16" s="423">
        <f t="shared" si="5"/>
        <v>362</v>
      </c>
      <c r="K16" s="426">
        <f t="shared" si="5"/>
        <v>403</v>
      </c>
      <c r="L16" s="425">
        <f t="shared" si="5"/>
        <v>505.85999999999996</v>
      </c>
      <c r="M16" s="426">
        <f t="shared" si="5"/>
        <v>626.93</v>
      </c>
      <c r="N16" s="423">
        <f t="shared" si="5"/>
        <v>176.04000000000002</v>
      </c>
      <c r="O16" s="426">
        <f t="shared" si="5"/>
        <v>213.64</v>
      </c>
      <c r="P16" s="423">
        <f t="shared" si="5"/>
        <v>146.29999999999995</v>
      </c>
      <c r="Q16" s="426">
        <f t="shared" si="5"/>
        <v>182.72</v>
      </c>
      <c r="R16" s="423">
        <f t="shared" si="5"/>
        <v>524.75</v>
      </c>
      <c r="S16" s="426">
        <f t="shared" si="5"/>
        <v>791.2800000000001</v>
      </c>
      <c r="T16" s="425">
        <f t="shared" si="5"/>
        <v>128.06</v>
      </c>
      <c r="U16" s="426">
        <f t="shared" si="5"/>
        <v>185.62999999999997</v>
      </c>
      <c r="V16" s="423">
        <f t="shared" si="5"/>
        <v>3657.3299999999995</v>
      </c>
      <c r="W16" s="426">
        <f t="shared" si="5"/>
        <v>4201.09</v>
      </c>
      <c r="X16" s="425">
        <f t="shared" si="5"/>
        <v>5356.799999999999</v>
      </c>
      <c r="Y16" s="426">
        <f t="shared" si="5"/>
        <v>6978.399999999998</v>
      </c>
      <c r="Z16" s="423">
        <f t="shared" si="5"/>
        <v>487.38</v>
      </c>
      <c r="AA16" s="426">
        <f t="shared" si="5"/>
        <v>633.7399999999999</v>
      </c>
      <c r="AB16" s="423">
        <f t="shared" si="5"/>
        <v>239.33999999999997</v>
      </c>
      <c r="AC16" s="424">
        <f t="shared" si="5"/>
        <v>412.6700000000001</v>
      </c>
      <c r="AD16" s="425">
        <f t="shared" si="5"/>
        <v>1063.7</v>
      </c>
      <c r="AE16" s="426">
        <f t="shared" si="5"/>
        <v>1436.6400000000003</v>
      </c>
      <c r="AF16" s="423">
        <f t="shared" si="5"/>
        <v>2613</v>
      </c>
      <c r="AG16" s="424">
        <f t="shared" si="5"/>
        <v>3308</v>
      </c>
      <c r="AH16" s="425">
        <f aca="true" t="shared" si="6" ref="AH16:AU16">SUM(AH5:AH15)</f>
        <v>924.4200000000001</v>
      </c>
      <c r="AI16" s="426">
        <f t="shared" si="6"/>
        <v>1031.1299999999999</v>
      </c>
      <c r="AJ16" s="423">
        <f t="shared" si="6"/>
        <v>913.9000000000001</v>
      </c>
      <c r="AK16" s="424">
        <f t="shared" si="6"/>
        <v>711.38</v>
      </c>
      <c r="AL16" s="425">
        <f t="shared" si="6"/>
        <v>43.050000000000004</v>
      </c>
      <c r="AM16" s="426">
        <f t="shared" si="6"/>
        <v>44.68</v>
      </c>
      <c r="AN16" s="425">
        <f t="shared" si="6"/>
        <v>4978</v>
      </c>
      <c r="AO16" s="426">
        <f t="shared" si="6"/>
        <v>6467</v>
      </c>
      <c r="AP16" s="423">
        <f t="shared" si="6"/>
        <v>395.53999999999996</v>
      </c>
      <c r="AQ16" s="426">
        <f t="shared" si="6"/>
        <v>430.99</v>
      </c>
      <c r="AR16" s="425">
        <f t="shared" si="6"/>
        <v>431.4</v>
      </c>
      <c r="AS16" s="426">
        <f t="shared" si="6"/>
        <v>663.5396</v>
      </c>
      <c r="AT16" s="423">
        <f t="shared" si="6"/>
        <v>614.41</v>
      </c>
      <c r="AU16" s="426">
        <f t="shared" si="6"/>
        <v>1832.23</v>
      </c>
      <c r="AV16" s="427">
        <f t="shared" si="0"/>
        <v>25465.980000000003</v>
      </c>
      <c r="AW16" s="848">
        <f t="shared" si="1"/>
        <v>32830.19960000001</v>
      </c>
      <c r="AX16" s="428">
        <f>SUM(AX5:AX15)</f>
        <v>32838.08</v>
      </c>
      <c r="AY16" s="853">
        <f>SUM(AY5:AY15)</f>
        <v>45646.02</v>
      </c>
      <c r="AZ16" s="429">
        <f t="shared" si="2"/>
        <v>58304.060000000005</v>
      </c>
      <c r="BA16" s="430">
        <f t="shared" si="3"/>
        <v>78476.21960000001</v>
      </c>
    </row>
    <row r="17" spans="1:53" ht="18" thickBot="1">
      <c r="A17" s="281" t="s">
        <v>11</v>
      </c>
      <c r="B17" s="282">
        <v>0.02</v>
      </c>
      <c r="C17" s="283"/>
      <c r="D17" s="262">
        <v>0.02</v>
      </c>
      <c r="E17" s="265">
        <v>0.02</v>
      </c>
      <c r="F17" s="263">
        <v>-1.13</v>
      </c>
      <c r="G17" s="264">
        <v>-1.16</v>
      </c>
      <c r="H17" s="262"/>
      <c r="I17" s="265"/>
      <c r="J17" s="266"/>
      <c r="K17" s="265"/>
      <c r="L17" s="262"/>
      <c r="M17" s="265"/>
      <c r="N17" s="266">
        <v>1.75</v>
      </c>
      <c r="O17" s="265">
        <v>3.3</v>
      </c>
      <c r="P17" s="285"/>
      <c r="Q17" s="286"/>
      <c r="R17" s="288">
        <v>14.22</v>
      </c>
      <c r="S17" s="289">
        <v>23.62</v>
      </c>
      <c r="T17" s="284"/>
      <c r="U17" s="289">
        <v>0.04</v>
      </c>
      <c r="V17" s="287">
        <v>0.05</v>
      </c>
      <c r="W17" s="289">
        <v>0.04</v>
      </c>
      <c r="X17" s="284"/>
      <c r="Y17" s="289"/>
      <c r="Z17" s="287"/>
      <c r="AA17" s="289"/>
      <c r="AB17" s="263"/>
      <c r="AC17" s="264"/>
      <c r="AD17" s="262"/>
      <c r="AE17" s="265"/>
      <c r="AF17" s="263"/>
      <c r="AG17" s="264"/>
      <c r="AH17" s="265">
        <v>-0.28</v>
      </c>
      <c r="AI17" s="265">
        <v>-0.18</v>
      </c>
      <c r="AJ17" s="263"/>
      <c r="AK17" s="264"/>
      <c r="AL17" s="262"/>
      <c r="AM17" s="265"/>
      <c r="AN17" s="381"/>
      <c r="AO17" s="290"/>
      <c r="AP17" s="801"/>
      <c r="AQ17" s="267"/>
      <c r="AR17" s="270"/>
      <c r="AS17" s="268"/>
      <c r="AT17" s="266"/>
      <c r="AU17" s="265"/>
      <c r="AV17" s="269">
        <f t="shared" si="0"/>
        <v>14.650000000000002</v>
      </c>
      <c r="AW17" s="849">
        <f t="shared" si="1"/>
        <v>25.68</v>
      </c>
      <c r="AX17" s="270"/>
      <c r="AY17" s="268"/>
      <c r="AZ17" s="271">
        <f t="shared" si="2"/>
        <v>14.650000000000002</v>
      </c>
      <c r="BA17" s="272">
        <f t="shared" si="3"/>
        <v>25.68</v>
      </c>
    </row>
    <row r="18" spans="1:53" s="431" customFormat="1" ht="18.75" thickBot="1">
      <c r="A18" s="432" t="s">
        <v>12</v>
      </c>
      <c r="B18" s="433">
        <f aca="true" t="shared" si="7" ref="B18:AG18">B16+B17</f>
        <v>712.29</v>
      </c>
      <c r="C18" s="434">
        <f t="shared" si="7"/>
        <v>960.75</v>
      </c>
      <c r="D18" s="435">
        <f t="shared" si="7"/>
        <v>136.27</v>
      </c>
      <c r="E18" s="436">
        <f t="shared" si="7"/>
        <v>91.36</v>
      </c>
      <c r="F18" s="433">
        <f t="shared" si="7"/>
        <v>164.05</v>
      </c>
      <c r="G18" s="434">
        <f t="shared" si="7"/>
        <v>156.26</v>
      </c>
      <c r="H18" s="435">
        <f t="shared" si="7"/>
        <v>891</v>
      </c>
      <c r="I18" s="436">
        <f t="shared" si="7"/>
        <v>1066</v>
      </c>
      <c r="J18" s="433">
        <f t="shared" si="7"/>
        <v>362</v>
      </c>
      <c r="K18" s="436">
        <f t="shared" si="7"/>
        <v>403</v>
      </c>
      <c r="L18" s="435">
        <f t="shared" si="7"/>
        <v>505.85999999999996</v>
      </c>
      <c r="M18" s="436">
        <f t="shared" si="7"/>
        <v>626.93</v>
      </c>
      <c r="N18" s="433">
        <f t="shared" si="7"/>
        <v>177.79000000000002</v>
      </c>
      <c r="O18" s="436">
        <f t="shared" si="7"/>
        <v>216.94</v>
      </c>
      <c r="P18" s="433">
        <f t="shared" si="7"/>
        <v>146.29999999999995</v>
      </c>
      <c r="Q18" s="436">
        <f t="shared" si="7"/>
        <v>182.72</v>
      </c>
      <c r="R18" s="433">
        <f t="shared" si="7"/>
        <v>538.97</v>
      </c>
      <c r="S18" s="436">
        <f t="shared" si="7"/>
        <v>814.9000000000001</v>
      </c>
      <c r="T18" s="435">
        <f t="shared" si="7"/>
        <v>128.06</v>
      </c>
      <c r="U18" s="436">
        <f t="shared" si="7"/>
        <v>185.66999999999996</v>
      </c>
      <c r="V18" s="433">
        <f t="shared" si="7"/>
        <v>3657.3799999999997</v>
      </c>
      <c r="W18" s="436">
        <f t="shared" si="7"/>
        <v>4201.13</v>
      </c>
      <c r="X18" s="435">
        <f t="shared" si="7"/>
        <v>5356.799999999999</v>
      </c>
      <c r="Y18" s="436">
        <f t="shared" si="7"/>
        <v>6978.399999999998</v>
      </c>
      <c r="Z18" s="433">
        <f t="shared" si="7"/>
        <v>487.38</v>
      </c>
      <c r="AA18" s="436">
        <f t="shared" si="7"/>
        <v>633.7399999999999</v>
      </c>
      <c r="AB18" s="433">
        <f t="shared" si="7"/>
        <v>239.33999999999997</v>
      </c>
      <c r="AC18" s="434">
        <f t="shared" si="7"/>
        <v>412.6700000000001</v>
      </c>
      <c r="AD18" s="435">
        <f t="shared" si="7"/>
        <v>1063.7</v>
      </c>
      <c r="AE18" s="436">
        <f t="shared" si="7"/>
        <v>1436.6400000000003</v>
      </c>
      <c r="AF18" s="433">
        <f t="shared" si="7"/>
        <v>2613</v>
      </c>
      <c r="AG18" s="434">
        <f t="shared" si="7"/>
        <v>3308</v>
      </c>
      <c r="AH18" s="435">
        <f aca="true" t="shared" si="8" ref="AH18:AU18">AH16+AH17</f>
        <v>924.1400000000001</v>
      </c>
      <c r="AI18" s="436">
        <f t="shared" si="8"/>
        <v>1030.9499999999998</v>
      </c>
      <c r="AJ18" s="433">
        <f t="shared" si="8"/>
        <v>913.9000000000001</v>
      </c>
      <c r="AK18" s="434">
        <f t="shared" si="8"/>
        <v>711.38</v>
      </c>
      <c r="AL18" s="435">
        <f t="shared" si="8"/>
        <v>43.050000000000004</v>
      </c>
      <c r="AM18" s="436">
        <f t="shared" si="8"/>
        <v>44.68</v>
      </c>
      <c r="AN18" s="435">
        <f t="shared" si="8"/>
        <v>4978</v>
      </c>
      <c r="AO18" s="436">
        <f t="shared" si="8"/>
        <v>6467</v>
      </c>
      <c r="AP18" s="433">
        <f t="shared" si="8"/>
        <v>395.53999999999996</v>
      </c>
      <c r="AQ18" s="436">
        <f t="shared" si="8"/>
        <v>430.99</v>
      </c>
      <c r="AR18" s="435">
        <f t="shared" si="8"/>
        <v>431.4</v>
      </c>
      <c r="AS18" s="436">
        <f t="shared" si="8"/>
        <v>663.5396</v>
      </c>
      <c r="AT18" s="433">
        <f t="shared" si="8"/>
        <v>614.41</v>
      </c>
      <c r="AU18" s="436">
        <f t="shared" si="8"/>
        <v>1832.23</v>
      </c>
      <c r="AV18" s="437">
        <f t="shared" si="0"/>
        <v>25480.63</v>
      </c>
      <c r="AW18" s="850">
        <f t="shared" si="1"/>
        <v>32855.87960000001</v>
      </c>
      <c r="AX18" s="438">
        <f>AX16+AX17</f>
        <v>32838.08</v>
      </c>
      <c r="AY18" s="439">
        <f>AY16+AY17</f>
        <v>45646.02</v>
      </c>
      <c r="AZ18" s="438">
        <f t="shared" si="2"/>
        <v>58318.71000000001</v>
      </c>
      <c r="BA18" s="439">
        <f t="shared" si="3"/>
        <v>78501.8996</v>
      </c>
    </row>
    <row r="19" spans="46:47" ht="16.5">
      <c r="AT19" s="97"/>
      <c r="AU19" s="97"/>
    </row>
  </sheetData>
  <sheetProtection/>
  <mergeCells count="29">
    <mergeCell ref="B3:C3"/>
    <mergeCell ref="N3:O3"/>
    <mergeCell ref="P3:Q3"/>
    <mergeCell ref="L3:M3"/>
    <mergeCell ref="H3:I3"/>
    <mergeCell ref="J3:K3"/>
    <mergeCell ref="F3:G3"/>
    <mergeCell ref="Z3:AA3"/>
    <mergeCell ref="X3:Y3"/>
    <mergeCell ref="V3:W3"/>
    <mergeCell ref="T3:U3"/>
    <mergeCell ref="R3:S3"/>
    <mergeCell ref="D3:E3"/>
    <mergeCell ref="AL3:AM3"/>
    <mergeCell ref="AJ3:AK3"/>
    <mergeCell ref="AH3:AI3"/>
    <mergeCell ref="AF3:AG3"/>
    <mergeCell ref="AD3:AE3"/>
    <mergeCell ref="AB3:AC3"/>
    <mergeCell ref="A1:AY1"/>
    <mergeCell ref="A2:AY2"/>
    <mergeCell ref="A3:A4"/>
    <mergeCell ref="AZ3:BA3"/>
    <mergeCell ref="AX3:AY3"/>
    <mergeCell ref="AV3:AW3"/>
    <mergeCell ref="AT3:AU3"/>
    <mergeCell ref="AR3:AS3"/>
    <mergeCell ref="AP3:AQ3"/>
    <mergeCell ref="AN3:AO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B18"/>
  <sheetViews>
    <sheetView zoomScalePageLayoutView="0" workbookViewId="0" topLeftCell="A1">
      <pane xSplit="1" topLeftCell="AR1" activePane="topRight" state="frozen"/>
      <selection pane="topLeft" activeCell="A1" sqref="A1"/>
      <selection pane="topRight" activeCell="AY13" sqref="AY12:AY13"/>
    </sheetView>
  </sheetViews>
  <sheetFormatPr defaultColWidth="9.140625" defaultRowHeight="15"/>
  <cols>
    <col min="1" max="1" width="54.140625" style="11" customWidth="1"/>
    <col min="2" max="2" width="15.7109375" style="11" customWidth="1"/>
    <col min="3" max="3" width="12.8515625" style="11" bestFit="1" customWidth="1"/>
    <col min="4" max="25" width="12.421875" style="11" bestFit="1" customWidth="1"/>
    <col min="26" max="27" width="12.421875" style="41" bestFit="1" customWidth="1"/>
    <col min="28" max="33" width="12.421875" style="11" bestFit="1" customWidth="1"/>
    <col min="34" max="34" width="11.421875" style="11" customWidth="1"/>
    <col min="35" max="53" width="12.421875" style="11" bestFit="1" customWidth="1"/>
    <col min="54" max="54" width="9.57421875" style="11" bestFit="1" customWidth="1"/>
    <col min="55" max="16384" width="9.140625" style="11" customWidth="1"/>
  </cols>
  <sheetData>
    <row r="1" spans="1:53" ht="28.5" customHeight="1">
      <c r="A1" s="1122" t="s">
        <v>116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  <c r="O1" s="1122"/>
      <c r="P1" s="1122"/>
      <c r="Q1" s="1122"/>
      <c r="R1" s="1122"/>
      <c r="S1" s="1122"/>
      <c r="T1" s="1122"/>
      <c r="U1" s="1122"/>
      <c r="V1" s="1122"/>
      <c r="W1" s="1122"/>
      <c r="X1" s="1122"/>
      <c r="Y1" s="1122"/>
      <c r="Z1" s="1122"/>
      <c r="AA1" s="1122"/>
      <c r="AB1" s="1122"/>
      <c r="AC1" s="1122"/>
      <c r="AD1" s="1122"/>
      <c r="AE1" s="1122"/>
      <c r="AF1" s="1122"/>
      <c r="AG1" s="1122"/>
      <c r="AH1" s="1122"/>
      <c r="AI1" s="1122"/>
      <c r="AJ1" s="1122"/>
      <c r="AK1" s="1122"/>
      <c r="AL1" s="1122"/>
      <c r="AM1" s="1122"/>
      <c r="AN1" s="1122"/>
      <c r="AO1" s="1122"/>
      <c r="AP1" s="1122"/>
      <c r="AQ1" s="1122"/>
      <c r="AR1" s="1122"/>
      <c r="AS1" s="1122"/>
      <c r="AT1" s="1122"/>
      <c r="AU1" s="1122"/>
      <c r="AV1" s="1122"/>
      <c r="AW1" s="1122"/>
      <c r="AX1" s="1122"/>
      <c r="AY1" s="1122"/>
      <c r="AZ1" s="46"/>
      <c r="BA1" s="46"/>
    </row>
    <row r="2" spans="1:53" ht="15" thickBot="1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1063"/>
      <c r="X2" s="1063"/>
      <c r="Y2" s="1063"/>
      <c r="Z2" s="1063"/>
      <c r="AA2" s="1063"/>
      <c r="AB2" s="1063"/>
      <c r="AC2" s="1063"/>
      <c r="AD2" s="1063"/>
      <c r="AE2" s="1063"/>
      <c r="AF2" s="1063"/>
      <c r="AG2" s="1063"/>
      <c r="AH2" s="1063"/>
      <c r="AI2" s="1063"/>
      <c r="AJ2" s="1063"/>
      <c r="AK2" s="1063"/>
      <c r="AL2" s="1063"/>
      <c r="AM2" s="1063"/>
      <c r="AN2" s="1063"/>
      <c r="AO2" s="1063"/>
      <c r="AP2" s="1063"/>
      <c r="AQ2" s="1063"/>
      <c r="AR2" s="1063"/>
      <c r="AS2" s="1063"/>
      <c r="AT2" s="1063"/>
      <c r="AU2" s="1063"/>
      <c r="AV2" s="1063"/>
      <c r="AW2" s="1063"/>
      <c r="AX2" s="1063"/>
      <c r="AY2" s="1063"/>
      <c r="AZ2" s="47"/>
      <c r="BA2" s="47"/>
    </row>
    <row r="3" spans="1:53" s="820" customFormat="1" ht="38.25" customHeight="1" thickBot="1">
      <c r="A3" s="1123" t="s">
        <v>14</v>
      </c>
      <c r="B3" s="1128" t="s">
        <v>117</v>
      </c>
      <c r="C3" s="1129"/>
      <c r="D3" s="1130" t="s">
        <v>118</v>
      </c>
      <c r="E3" s="1129"/>
      <c r="F3" s="1130" t="s">
        <v>119</v>
      </c>
      <c r="G3" s="1129"/>
      <c r="H3" s="1128" t="s">
        <v>120</v>
      </c>
      <c r="I3" s="1129"/>
      <c r="J3" s="1130" t="s">
        <v>121</v>
      </c>
      <c r="K3" s="1129"/>
      <c r="L3" s="1130" t="s">
        <v>122</v>
      </c>
      <c r="M3" s="1129"/>
      <c r="N3" s="1130" t="s">
        <v>123</v>
      </c>
      <c r="O3" s="1129"/>
      <c r="P3" s="1130" t="s">
        <v>124</v>
      </c>
      <c r="Q3" s="1129"/>
      <c r="R3" s="1130" t="s">
        <v>125</v>
      </c>
      <c r="S3" s="1129"/>
      <c r="T3" s="1130" t="s">
        <v>126</v>
      </c>
      <c r="U3" s="1129"/>
      <c r="V3" s="1130" t="s">
        <v>127</v>
      </c>
      <c r="W3" s="1129"/>
      <c r="X3" s="1128" t="s">
        <v>128</v>
      </c>
      <c r="Y3" s="1129"/>
      <c r="Z3" s="1131" t="s">
        <v>129</v>
      </c>
      <c r="AA3" s="1132"/>
      <c r="AB3" s="1130" t="s">
        <v>130</v>
      </c>
      <c r="AC3" s="1129"/>
      <c r="AD3" s="1125" t="s">
        <v>131</v>
      </c>
      <c r="AE3" s="1126"/>
      <c r="AF3" s="1130" t="s">
        <v>132</v>
      </c>
      <c r="AG3" s="1129"/>
      <c r="AH3" s="1130" t="s">
        <v>133</v>
      </c>
      <c r="AI3" s="1129"/>
      <c r="AJ3" s="1128" t="s">
        <v>134</v>
      </c>
      <c r="AK3" s="1129"/>
      <c r="AL3" s="1125" t="s">
        <v>135</v>
      </c>
      <c r="AM3" s="1126"/>
      <c r="AN3" s="1128" t="s">
        <v>136</v>
      </c>
      <c r="AO3" s="1129"/>
      <c r="AP3" s="1128" t="s">
        <v>137</v>
      </c>
      <c r="AQ3" s="1129"/>
      <c r="AR3" s="1128" t="s">
        <v>138</v>
      </c>
      <c r="AS3" s="1129"/>
      <c r="AT3" s="1128" t="s">
        <v>139</v>
      </c>
      <c r="AU3" s="1129"/>
      <c r="AV3" s="1128" t="s">
        <v>1</v>
      </c>
      <c r="AW3" s="1129"/>
      <c r="AX3" s="1127" t="s">
        <v>140</v>
      </c>
      <c r="AY3" s="1126"/>
      <c r="AZ3" s="1125" t="s">
        <v>2</v>
      </c>
      <c r="BA3" s="1126"/>
    </row>
    <row r="4" spans="1:53" ht="15" thickBot="1">
      <c r="A4" s="1124"/>
      <c r="B4" s="695" t="s">
        <v>253</v>
      </c>
      <c r="C4" s="696" t="s">
        <v>254</v>
      </c>
      <c r="D4" s="695" t="s">
        <v>253</v>
      </c>
      <c r="E4" s="696" t="s">
        <v>254</v>
      </c>
      <c r="F4" s="695" t="s">
        <v>253</v>
      </c>
      <c r="G4" s="696" t="s">
        <v>254</v>
      </c>
      <c r="H4" s="695" t="s">
        <v>253</v>
      </c>
      <c r="I4" s="696" t="s">
        <v>254</v>
      </c>
      <c r="J4" s="695" t="s">
        <v>253</v>
      </c>
      <c r="K4" s="696" t="s">
        <v>254</v>
      </c>
      <c r="L4" s="695" t="s">
        <v>253</v>
      </c>
      <c r="M4" s="696" t="s">
        <v>254</v>
      </c>
      <c r="N4" s="695" t="s">
        <v>253</v>
      </c>
      <c r="O4" s="696" t="s">
        <v>254</v>
      </c>
      <c r="P4" s="695" t="s">
        <v>253</v>
      </c>
      <c r="Q4" s="696" t="s">
        <v>254</v>
      </c>
      <c r="R4" s="695" t="s">
        <v>253</v>
      </c>
      <c r="S4" s="696" t="s">
        <v>254</v>
      </c>
      <c r="T4" s="695" t="s">
        <v>253</v>
      </c>
      <c r="U4" s="696" t="s">
        <v>254</v>
      </c>
      <c r="V4" s="695" t="s">
        <v>253</v>
      </c>
      <c r="W4" s="696" t="s">
        <v>254</v>
      </c>
      <c r="X4" s="695" t="s">
        <v>253</v>
      </c>
      <c r="Y4" s="696" t="s">
        <v>254</v>
      </c>
      <c r="Z4" s="695" t="s">
        <v>253</v>
      </c>
      <c r="AA4" s="696" t="s">
        <v>254</v>
      </c>
      <c r="AB4" s="695" t="s">
        <v>253</v>
      </c>
      <c r="AC4" s="696" t="s">
        <v>254</v>
      </c>
      <c r="AD4" s="695" t="s">
        <v>253</v>
      </c>
      <c r="AE4" s="696" t="s">
        <v>254</v>
      </c>
      <c r="AF4" s="695" t="s">
        <v>253</v>
      </c>
      <c r="AG4" s="696" t="s">
        <v>254</v>
      </c>
      <c r="AH4" s="695" t="s">
        <v>253</v>
      </c>
      <c r="AI4" s="696" t="s">
        <v>254</v>
      </c>
      <c r="AJ4" s="695" t="s">
        <v>253</v>
      </c>
      <c r="AK4" s="696" t="s">
        <v>254</v>
      </c>
      <c r="AL4" s="695" t="s">
        <v>253</v>
      </c>
      <c r="AM4" s="696" t="s">
        <v>254</v>
      </c>
      <c r="AN4" s="695" t="s">
        <v>253</v>
      </c>
      <c r="AO4" s="696" t="s">
        <v>254</v>
      </c>
      <c r="AP4" s="695" t="s">
        <v>253</v>
      </c>
      <c r="AQ4" s="696" t="s">
        <v>254</v>
      </c>
      <c r="AR4" s="695" t="s">
        <v>253</v>
      </c>
      <c r="AS4" s="696" t="s">
        <v>254</v>
      </c>
      <c r="AT4" s="695" t="s">
        <v>253</v>
      </c>
      <c r="AU4" s="696" t="s">
        <v>254</v>
      </c>
      <c r="AV4" s="695" t="s">
        <v>253</v>
      </c>
      <c r="AW4" s="696" t="s">
        <v>254</v>
      </c>
      <c r="AX4" s="695" t="s">
        <v>253</v>
      </c>
      <c r="AY4" s="696" t="s">
        <v>254</v>
      </c>
      <c r="AZ4" s="695" t="s">
        <v>253</v>
      </c>
      <c r="BA4" s="696" t="s">
        <v>254</v>
      </c>
    </row>
    <row r="5" spans="1:54" ht="15">
      <c r="A5" s="48" t="s">
        <v>3</v>
      </c>
      <c r="B5" s="49">
        <v>182802</v>
      </c>
      <c r="C5" s="50">
        <v>183888</v>
      </c>
      <c r="D5" s="52">
        <v>15986</v>
      </c>
      <c r="E5" s="53">
        <v>2454</v>
      </c>
      <c r="F5" s="52">
        <v>20952</v>
      </c>
      <c r="G5" s="53">
        <v>22750</v>
      </c>
      <c r="H5" s="52">
        <v>177895</v>
      </c>
      <c r="I5" s="53">
        <v>232588</v>
      </c>
      <c r="J5" s="52">
        <v>36892</v>
      </c>
      <c r="K5" s="53">
        <v>42204</v>
      </c>
      <c r="L5" s="45"/>
      <c r="M5" s="55"/>
      <c r="N5" s="52">
        <v>14776</v>
      </c>
      <c r="O5" s="53">
        <v>19855</v>
      </c>
      <c r="P5" s="52">
        <v>23697</v>
      </c>
      <c r="Q5" s="53">
        <v>29997</v>
      </c>
      <c r="R5" s="52">
        <v>126744</v>
      </c>
      <c r="S5" s="53">
        <v>108818</v>
      </c>
      <c r="T5" s="52">
        <v>18115</v>
      </c>
      <c r="U5" s="53">
        <v>17265</v>
      </c>
      <c r="V5" s="52">
        <v>411769</v>
      </c>
      <c r="W5" s="53">
        <v>355206</v>
      </c>
      <c r="X5" s="52">
        <v>149435</v>
      </c>
      <c r="Y5" s="53">
        <v>161898</v>
      </c>
      <c r="Z5" s="44">
        <v>18021</v>
      </c>
      <c r="AA5" s="56">
        <v>12902</v>
      </c>
      <c r="AB5" s="52">
        <v>6605</v>
      </c>
      <c r="AC5" s="53">
        <v>6185</v>
      </c>
      <c r="AD5" s="52">
        <v>111518</v>
      </c>
      <c r="AE5" s="53">
        <v>136411</v>
      </c>
      <c r="AF5" s="52">
        <v>160357</v>
      </c>
      <c r="AG5" s="53">
        <v>135522</v>
      </c>
      <c r="AH5" s="52">
        <v>28206</v>
      </c>
      <c r="AI5" s="53">
        <v>11153</v>
      </c>
      <c r="AJ5" s="215">
        <v>247937</v>
      </c>
      <c r="AK5" s="53">
        <v>193354</v>
      </c>
      <c r="AL5" s="815">
        <v>19442</v>
      </c>
      <c r="AM5" s="816">
        <v>16049</v>
      </c>
      <c r="AN5" s="354">
        <v>462278</v>
      </c>
      <c r="AO5" s="355">
        <v>445323</v>
      </c>
      <c r="AP5" s="57">
        <v>14538</v>
      </c>
      <c r="AQ5" s="58">
        <v>12413</v>
      </c>
      <c r="AR5" s="59">
        <v>6958</v>
      </c>
      <c r="AS5" s="60">
        <v>3592</v>
      </c>
      <c r="AT5" s="52">
        <v>77423</v>
      </c>
      <c r="AU5" s="53">
        <v>74189</v>
      </c>
      <c r="AV5" s="42">
        <f aca="true" t="shared" si="0" ref="AV5:AV18">SUM(B5+D5+F5+H5+J5+L5+N5+P5+R5+T5+V5+X5+Z5+AB5+AD5+AF5+AH5+AJ5+AL5+AN5+AP5+AR5+AT5)</f>
        <v>2332346</v>
      </c>
      <c r="AW5" s="224">
        <f aca="true" t="shared" si="1" ref="AW5:AW18">SUM(C5+E5+G5+I5+K5+M5+O5+Q5+S5+U5+W5+Y5+AA5+AC5+AE5+AG5+AI5+AK5+AM5+AO5+AQ5+AS5+AU5)</f>
        <v>2224016</v>
      </c>
      <c r="AX5" s="59">
        <v>19712599</v>
      </c>
      <c r="AY5" s="60">
        <v>19367728</v>
      </c>
      <c r="AZ5" s="61">
        <f aca="true" t="shared" si="2" ref="AZ5:AZ18">AV5+AX5</f>
        <v>22044945</v>
      </c>
      <c r="BA5" s="62">
        <f aca="true" t="shared" si="3" ref="BA5:BA18">AW5+AY5</f>
        <v>21591744</v>
      </c>
      <c r="BB5" s="63"/>
    </row>
    <row r="6" spans="1:53" ht="15">
      <c r="A6" s="48" t="s">
        <v>4</v>
      </c>
      <c r="B6" s="12">
        <v>10176</v>
      </c>
      <c r="C6" s="65">
        <v>13940</v>
      </c>
      <c r="D6" s="19"/>
      <c r="E6" s="23">
        <v>201</v>
      </c>
      <c r="F6" s="19">
        <v>22185</v>
      </c>
      <c r="G6" s="23">
        <v>5922</v>
      </c>
      <c r="H6" s="19">
        <v>65342</v>
      </c>
      <c r="I6" s="23">
        <v>5545</v>
      </c>
      <c r="J6" s="19"/>
      <c r="K6" s="23">
        <v>9</v>
      </c>
      <c r="L6" s="19">
        <v>75480</v>
      </c>
      <c r="M6" s="23">
        <v>90554</v>
      </c>
      <c r="N6" s="19">
        <v>7</v>
      </c>
      <c r="O6" s="23">
        <v>266</v>
      </c>
      <c r="P6" s="19">
        <v>3716</v>
      </c>
      <c r="Q6" s="23">
        <v>4902</v>
      </c>
      <c r="R6" s="19">
        <v>3294</v>
      </c>
      <c r="S6" s="23">
        <v>6081</v>
      </c>
      <c r="T6" s="19"/>
      <c r="U6" s="23">
        <v>1362</v>
      </c>
      <c r="V6" s="19">
        <v>512662</v>
      </c>
      <c r="W6" s="23">
        <v>449706</v>
      </c>
      <c r="X6" s="19">
        <v>290634</v>
      </c>
      <c r="Y6" s="23">
        <v>360389</v>
      </c>
      <c r="Z6" s="24">
        <v>85185</v>
      </c>
      <c r="AA6" s="25">
        <v>102298</v>
      </c>
      <c r="AB6" s="19">
        <v>80882</v>
      </c>
      <c r="AC6" s="23">
        <v>104322</v>
      </c>
      <c r="AD6" s="19">
        <v>90097</v>
      </c>
      <c r="AE6" s="23">
        <v>94578</v>
      </c>
      <c r="AF6" s="19">
        <v>246799</v>
      </c>
      <c r="AG6" s="23">
        <v>298927</v>
      </c>
      <c r="AH6" s="19">
        <v>142856</v>
      </c>
      <c r="AI6" s="23">
        <v>135877</v>
      </c>
      <c r="AJ6" s="215">
        <v>1</v>
      </c>
      <c r="AK6" s="23">
        <v>904</v>
      </c>
      <c r="AL6" s="22"/>
      <c r="AM6" s="23"/>
      <c r="AN6" s="17">
        <v>788207</v>
      </c>
      <c r="AO6" s="18">
        <v>810977</v>
      </c>
      <c r="AP6" s="26"/>
      <c r="AQ6" s="27"/>
      <c r="AR6" s="28">
        <v>82971</v>
      </c>
      <c r="AS6" s="29">
        <v>113201</v>
      </c>
      <c r="AT6" s="19">
        <v>22903</v>
      </c>
      <c r="AU6" s="23">
        <v>50263</v>
      </c>
      <c r="AV6" s="42">
        <f t="shared" si="0"/>
        <v>2523397</v>
      </c>
      <c r="AW6" s="224">
        <f t="shared" si="1"/>
        <v>2650224</v>
      </c>
      <c r="AX6" s="28">
        <v>250659</v>
      </c>
      <c r="AY6" s="29">
        <v>170232</v>
      </c>
      <c r="AZ6" s="61">
        <f t="shared" si="2"/>
        <v>2774056</v>
      </c>
      <c r="BA6" s="62">
        <f t="shared" si="3"/>
        <v>2820456</v>
      </c>
    </row>
    <row r="7" spans="1:53" ht="15">
      <c r="A7" s="48" t="s">
        <v>5</v>
      </c>
      <c r="B7" s="12">
        <v>5665</v>
      </c>
      <c r="C7" s="65">
        <v>11539</v>
      </c>
      <c r="D7" s="19">
        <v>1186</v>
      </c>
      <c r="E7" s="23">
        <v>2786</v>
      </c>
      <c r="F7" s="19">
        <v>3</v>
      </c>
      <c r="G7" s="23">
        <v>128</v>
      </c>
      <c r="H7" s="19">
        <v>3383</v>
      </c>
      <c r="I7" s="23">
        <v>3793</v>
      </c>
      <c r="J7" s="19">
        <v>966</v>
      </c>
      <c r="K7" s="23">
        <v>4918</v>
      </c>
      <c r="L7" s="19"/>
      <c r="M7" s="23"/>
      <c r="N7" s="19">
        <v>9641</v>
      </c>
      <c r="O7" s="23">
        <v>7874</v>
      </c>
      <c r="P7" s="19">
        <v>1452</v>
      </c>
      <c r="Q7" s="23">
        <v>2191</v>
      </c>
      <c r="R7" s="19">
        <v>4097</v>
      </c>
      <c r="S7" s="23">
        <v>7096</v>
      </c>
      <c r="T7" s="19">
        <v>1314</v>
      </c>
      <c r="U7" s="23">
        <v>5768</v>
      </c>
      <c r="V7" s="19">
        <v>22046</v>
      </c>
      <c r="W7" s="23">
        <v>35381</v>
      </c>
      <c r="X7" s="19">
        <v>29865</v>
      </c>
      <c r="Y7" s="23">
        <v>42160</v>
      </c>
      <c r="Z7" s="24"/>
      <c r="AA7" s="25"/>
      <c r="AB7" s="19">
        <v>1</v>
      </c>
      <c r="AC7" s="23">
        <v>7714</v>
      </c>
      <c r="AD7" s="19">
        <v>3406</v>
      </c>
      <c r="AE7" s="23">
        <v>2614</v>
      </c>
      <c r="AF7" s="19">
        <v>17366</v>
      </c>
      <c r="AG7" s="23">
        <v>12602</v>
      </c>
      <c r="AH7" s="19">
        <v>10922</v>
      </c>
      <c r="AI7" s="23">
        <v>13779</v>
      </c>
      <c r="AJ7" s="215">
        <v>20292</v>
      </c>
      <c r="AK7" s="23">
        <v>13935</v>
      </c>
      <c r="AL7" s="22">
        <v>98</v>
      </c>
      <c r="AM7" s="23">
        <v>9</v>
      </c>
      <c r="AN7" s="17">
        <v>7209</v>
      </c>
      <c r="AO7" s="18">
        <v>7403</v>
      </c>
      <c r="AP7" s="26">
        <v>138645</v>
      </c>
      <c r="AQ7" s="27">
        <v>99658</v>
      </c>
      <c r="AR7" s="28"/>
      <c r="AS7" s="29"/>
      <c r="AT7" s="19">
        <v>73</v>
      </c>
      <c r="AU7" s="23">
        <v>463</v>
      </c>
      <c r="AV7" s="42">
        <f t="shared" si="0"/>
        <v>277630</v>
      </c>
      <c r="AW7" s="224">
        <f t="shared" si="1"/>
        <v>281811</v>
      </c>
      <c r="AX7" s="28">
        <v>40443</v>
      </c>
      <c r="AY7" s="29">
        <v>22680</v>
      </c>
      <c r="AZ7" s="61">
        <f t="shared" si="2"/>
        <v>318073</v>
      </c>
      <c r="BA7" s="62">
        <f t="shared" si="3"/>
        <v>304491</v>
      </c>
    </row>
    <row r="8" spans="1:53" ht="15">
      <c r="A8" s="48" t="s">
        <v>6</v>
      </c>
      <c r="B8" s="12">
        <v>5827</v>
      </c>
      <c r="C8" s="65">
        <v>5299</v>
      </c>
      <c r="D8" s="19">
        <v>7053</v>
      </c>
      <c r="E8" s="23">
        <v>2563</v>
      </c>
      <c r="F8" s="19">
        <v>78</v>
      </c>
      <c r="G8" s="23">
        <v>37</v>
      </c>
      <c r="H8" s="19">
        <v>6154</v>
      </c>
      <c r="I8" s="23">
        <v>6321</v>
      </c>
      <c r="J8" s="19">
        <v>35988</v>
      </c>
      <c r="K8" s="23">
        <v>39235</v>
      </c>
      <c r="L8" s="19"/>
      <c r="M8" s="23"/>
      <c r="N8" s="19">
        <v>6198</v>
      </c>
      <c r="O8" s="23">
        <v>71</v>
      </c>
      <c r="P8" s="19">
        <v>3032</v>
      </c>
      <c r="Q8" s="23">
        <v>1166</v>
      </c>
      <c r="R8" s="19">
        <v>46696</v>
      </c>
      <c r="S8" s="23">
        <v>47002</v>
      </c>
      <c r="T8" s="19">
        <v>5170</v>
      </c>
      <c r="U8" s="23">
        <v>8134</v>
      </c>
      <c r="V8" s="19">
        <v>34127</v>
      </c>
      <c r="W8" s="23">
        <v>39431</v>
      </c>
      <c r="X8" s="19">
        <v>35461</v>
      </c>
      <c r="Y8" s="23">
        <v>33424</v>
      </c>
      <c r="Z8" s="24">
        <v>3030</v>
      </c>
      <c r="AA8" s="25">
        <v>2738</v>
      </c>
      <c r="AB8" s="19">
        <v>1803</v>
      </c>
      <c r="AC8" s="23">
        <v>492</v>
      </c>
      <c r="AD8" s="19">
        <v>8701</v>
      </c>
      <c r="AE8" s="23">
        <v>7233</v>
      </c>
      <c r="AF8" s="19">
        <v>-90</v>
      </c>
      <c r="AG8" s="23">
        <v>-54</v>
      </c>
      <c r="AH8" s="19">
        <v>-5</v>
      </c>
      <c r="AI8" s="23"/>
      <c r="AJ8" s="215">
        <v>40605</v>
      </c>
      <c r="AK8" s="23">
        <v>11746</v>
      </c>
      <c r="AL8" s="22"/>
      <c r="AM8" s="23"/>
      <c r="AN8" s="353">
        <v>1106</v>
      </c>
      <c r="AO8" s="356">
        <v>357</v>
      </c>
      <c r="AP8" s="26">
        <v>1497</v>
      </c>
      <c r="AQ8" s="27">
        <v>5712</v>
      </c>
      <c r="AR8" s="28">
        <v>1</v>
      </c>
      <c r="AS8" s="29"/>
      <c r="AT8" s="19">
        <v>3123</v>
      </c>
      <c r="AU8" s="23">
        <v>15977</v>
      </c>
      <c r="AV8" s="42">
        <f t="shared" si="0"/>
        <v>245555</v>
      </c>
      <c r="AW8" s="224">
        <f t="shared" si="1"/>
        <v>226884</v>
      </c>
      <c r="AX8" s="28">
        <v>699</v>
      </c>
      <c r="AY8" s="29">
        <v>828</v>
      </c>
      <c r="AZ8" s="61">
        <f t="shared" si="2"/>
        <v>246254</v>
      </c>
      <c r="BA8" s="62">
        <f t="shared" si="3"/>
        <v>227712</v>
      </c>
    </row>
    <row r="9" spans="1:53" ht="15">
      <c r="A9" s="48" t="s">
        <v>7</v>
      </c>
      <c r="B9" s="12">
        <v>71386</v>
      </c>
      <c r="C9" s="65">
        <v>67814</v>
      </c>
      <c r="D9" s="19"/>
      <c r="E9" s="23"/>
      <c r="F9" s="19">
        <v>16</v>
      </c>
      <c r="G9" s="23"/>
      <c r="H9" s="19">
        <v>3529</v>
      </c>
      <c r="I9" s="23">
        <v>1970</v>
      </c>
      <c r="J9" s="19"/>
      <c r="K9" s="23"/>
      <c r="L9" s="19"/>
      <c r="M9" s="23"/>
      <c r="N9" s="19"/>
      <c r="O9" s="23"/>
      <c r="P9" s="19">
        <v>710</v>
      </c>
      <c r="Q9" s="23">
        <v>266</v>
      </c>
      <c r="R9" s="19"/>
      <c r="S9" s="23"/>
      <c r="T9" s="19"/>
      <c r="U9" s="23"/>
      <c r="V9" s="19"/>
      <c r="W9" s="23"/>
      <c r="X9" s="19"/>
      <c r="Y9" s="23"/>
      <c r="Z9" s="24"/>
      <c r="AA9" s="25"/>
      <c r="AB9" s="19"/>
      <c r="AC9" s="23"/>
      <c r="AD9" s="231"/>
      <c r="AE9" s="338">
        <v>151</v>
      </c>
      <c r="AF9" s="19"/>
      <c r="AG9" s="23"/>
      <c r="AH9" s="19"/>
      <c r="AI9" s="23"/>
      <c r="AJ9" s="215"/>
      <c r="AK9" s="23"/>
      <c r="AL9" s="22"/>
      <c r="AM9" s="23"/>
      <c r="AN9" s="81">
        <v>65</v>
      </c>
      <c r="AO9" s="82">
        <v>6</v>
      </c>
      <c r="AP9" s="26"/>
      <c r="AQ9" s="27"/>
      <c r="AR9" s="28"/>
      <c r="AS9" s="29"/>
      <c r="AT9" s="19">
        <v>21993</v>
      </c>
      <c r="AU9" s="23">
        <v>22743</v>
      </c>
      <c r="AV9" s="52">
        <f t="shared" si="0"/>
        <v>97699</v>
      </c>
      <c r="AW9" s="53">
        <f t="shared" si="1"/>
        <v>92950</v>
      </c>
      <c r="AX9" s="19">
        <v>452291</v>
      </c>
      <c r="AY9" s="23">
        <v>480892</v>
      </c>
      <c r="AZ9" s="51">
        <f t="shared" si="2"/>
        <v>549990</v>
      </c>
      <c r="BA9" s="698">
        <f t="shared" si="3"/>
        <v>573842</v>
      </c>
    </row>
    <row r="10" spans="1:53" ht="15">
      <c r="A10" s="48" t="s">
        <v>15</v>
      </c>
      <c r="B10" s="12"/>
      <c r="C10" s="65"/>
      <c r="D10" s="19"/>
      <c r="E10" s="23"/>
      <c r="F10" s="19"/>
      <c r="G10" s="23"/>
      <c r="H10" s="19">
        <v>114</v>
      </c>
      <c r="I10" s="23">
        <v>4332</v>
      </c>
      <c r="J10" s="19"/>
      <c r="K10" s="23"/>
      <c r="L10" s="19"/>
      <c r="M10" s="23"/>
      <c r="N10" s="19"/>
      <c r="O10" s="23"/>
      <c r="P10" s="19"/>
      <c r="Q10" s="23"/>
      <c r="R10" s="19"/>
      <c r="S10" s="23"/>
      <c r="T10" s="19"/>
      <c r="U10" s="23"/>
      <c r="V10" s="19">
        <v>524</v>
      </c>
      <c r="W10" s="23">
        <v>1196</v>
      </c>
      <c r="X10" s="19"/>
      <c r="Y10" s="23"/>
      <c r="Z10" s="19"/>
      <c r="AA10" s="23"/>
      <c r="AB10" s="19">
        <v>1696</v>
      </c>
      <c r="AC10" s="23">
        <v>3346</v>
      </c>
      <c r="AD10" s="19"/>
      <c r="AE10" s="23"/>
      <c r="AF10" s="19"/>
      <c r="AG10" s="23"/>
      <c r="AH10" s="19"/>
      <c r="AI10" s="23"/>
      <c r="AJ10" s="215"/>
      <c r="AK10" s="23"/>
      <c r="AL10" s="22"/>
      <c r="AM10" s="23"/>
      <c r="AN10" s="81">
        <v>1027</v>
      </c>
      <c r="AO10" s="82">
        <v>844</v>
      </c>
      <c r="AP10" s="26"/>
      <c r="AQ10" s="27"/>
      <c r="AR10" s="28"/>
      <c r="AS10" s="29"/>
      <c r="AT10" s="19"/>
      <c r="AU10" s="23"/>
      <c r="AV10" s="42">
        <f t="shared" si="0"/>
        <v>3361</v>
      </c>
      <c r="AW10" s="224">
        <f t="shared" si="1"/>
        <v>9718</v>
      </c>
      <c r="AX10" s="28"/>
      <c r="AY10" s="29"/>
      <c r="AZ10" s="61">
        <f t="shared" si="2"/>
        <v>3361</v>
      </c>
      <c r="BA10" s="62">
        <f t="shared" si="3"/>
        <v>9718</v>
      </c>
    </row>
    <row r="11" spans="1:53" ht="15">
      <c r="A11" s="48" t="s">
        <v>8</v>
      </c>
      <c r="B11" s="12">
        <v>11248</v>
      </c>
      <c r="C11" s="65">
        <v>19944</v>
      </c>
      <c r="D11" s="19">
        <v>32601</v>
      </c>
      <c r="E11" s="23">
        <v>39828</v>
      </c>
      <c r="F11" s="19">
        <v>5458</v>
      </c>
      <c r="G11" s="23">
        <v>6258</v>
      </c>
      <c r="H11" s="19">
        <v>11237</v>
      </c>
      <c r="I11" s="23">
        <v>6173</v>
      </c>
      <c r="J11" s="19">
        <v>22909</v>
      </c>
      <c r="K11" s="23">
        <v>25010</v>
      </c>
      <c r="L11" s="19">
        <v>502</v>
      </c>
      <c r="M11" s="23">
        <v>534</v>
      </c>
      <c r="N11" s="19">
        <v>24157</v>
      </c>
      <c r="O11" s="23">
        <v>34948</v>
      </c>
      <c r="P11" s="19">
        <v>5175</v>
      </c>
      <c r="Q11" s="23">
        <v>7250</v>
      </c>
      <c r="R11" s="19">
        <v>2283</v>
      </c>
      <c r="S11" s="23">
        <v>5819</v>
      </c>
      <c r="T11" s="19">
        <v>4877</v>
      </c>
      <c r="U11" s="23">
        <v>9215</v>
      </c>
      <c r="V11" s="19">
        <v>169162</v>
      </c>
      <c r="W11" s="23">
        <v>200973</v>
      </c>
      <c r="X11" s="19">
        <v>74901</v>
      </c>
      <c r="Y11" s="23">
        <v>74645</v>
      </c>
      <c r="Z11" s="19">
        <v>2690</v>
      </c>
      <c r="AA11" s="23">
        <v>3088</v>
      </c>
      <c r="AB11" s="19">
        <v>4015</v>
      </c>
      <c r="AC11" s="23">
        <v>3828</v>
      </c>
      <c r="AD11" s="19">
        <v>46196</v>
      </c>
      <c r="AE11" s="23">
        <v>57992</v>
      </c>
      <c r="AF11" s="19">
        <v>35636</v>
      </c>
      <c r="AG11" s="23">
        <v>56063</v>
      </c>
      <c r="AH11" s="19">
        <v>58613</v>
      </c>
      <c r="AI11" s="23">
        <v>55823</v>
      </c>
      <c r="AJ11" s="215">
        <v>55670</v>
      </c>
      <c r="AK11" s="23">
        <v>52128</v>
      </c>
      <c r="AL11" s="22"/>
      <c r="AM11" s="23"/>
      <c r="AN11" s="17">
        <v>13118</v>
      </c>
      <c r="AO11" s="18">
        <v>9281</v>
      </c>
      <c r="AP11" s="26">
        <v>110345</v>
      </c>
      <c r="AQ11" s="27">
        <v>81120</v>
      </c>
      <c r="AR11" s="28">
        <v>386</v>
      </c>
      <c r="AS11" s="29">
        <v>2992</v>
      </c>
      <c r="AT11" s="19">
        <v>10865</v>
      </c>
      <c r="AU11" s="23">
        <v>19588</v>
      </c>
      <c r="AV11" s="42">
        <f t="shared" si="0"/>
        <v>702044</v>
      </c>
      <c r="AW11" s="224">
        <f t="shared" si="1"/>
        <v>772500</v>
      </c>
      <c r="AX11" s="28">
        <v>59832</v>
      </c>
      <c r="AY11" s="29">
        <v>60882</v>
      </c>
      <c r="AZ11" s="61">
        <f t="shared" si="2"/>
        <v>761876</v>
      </c>
      <c r="BA11" s="62">
        <f t="shared" si="3"/>
        <v>833382</v>
      </c>
    </row>
    <row r="12" spans="1:53" ht="15">
      <c r="A12" s="48" t="s">
        <v>16</v>
      </c>
      <c r="B12" s="12"/>
      <c r="C12" s="65"/>
      <c r="D12" s="19"/>
      <c r="E12" s="23"/>
      <c r="F12" s="19"/>
      <c r="G12" s="23"/>
      <c r="H12" s="19"/>
      <c r="I12" s="23"/>
      <c r="J12" s="19"/>
      <c r="K12" s="23"/>
      <c r="L12" s="19"/>
      <c r="M12" s="23"/>
      <c r="N12" s="19"/>
      <c r="O12" s="23"/>
      <c r="P12" s="19"/>
      <c r="Q12" s="23"/>
      <c r="R12" s="19"/>
      <c r="S12" s="23"/>
      <c r="T12" s="19"/>
      <c r="U12" s="23"/>
      <c r="V12" s="19"/>
      <c r="W12" s="23"/>
      <c r="X12" s="19"/>
      <c r="Y12" s="23"/>
      <c r="Z12" s="19"/>
      <c r="AA12" s="23"/>
      <c r="AB12" s="19"/>
      <c r="AC12" s="23"/>
      <c r="AD12" s="19"/>
      <c r="AE12" s="23"/>
      <c r="AF12" s="19"/>
      <c r="AG12" s="23"/>
      <c r="AH12" s="19"/>
      <c r="AI12" s="23"/>
      <c r="AJ12" s="215"/>
      <c r="AK12" s="23"/>
      <c r="AL12" s="22"/>
      <c r="AM12" s="23"/>
      <c r="AN12" s="17"/>
      <c r="AO12" s="18"/>
      <c r="AP12" s="26"/>
      <c r="AQ12" s="27"/>
      <c r="AR12" s="28"/>
      <c r="AS12" s="29"/>
      <c r="AT12" s="19"/>
      <c r="AU12" s="23"/>
      <c r="AV12" s="42">
        <f t="shared" si="0"/>
        <v>0</v>
      </c>
      <c r="AW12" s="224">
        <f t="shared" si="1"/>
        <v>0</v>
      </c>
      <c r="AX12" s="28"/>
      <c r="AY12" s="29"/>
      <c r="AZ12" s="61">
        <f t="shared" si="2"/>
        <v>0</v>
      </c>
      <c r="BA12" s="62">
        <f t="shared" si="3"/>
        <v>0</v>
      </c>
    </row>
    <row r="13" spans="1:53" ht="15">
      <c r="A13" s="48" t="s">
        <v>17</v>
      </c>
      <c r="B13" s="12"/>
      <c r="C13" s="65"/>
      <c r="D13" s="19"/>
      <c r="E13" s="23">
        <v>2</v>
      </c>
      <c r="F13" s="19"/>
      <c r="G13" s="23"/>
      <c r="H13" s="19"/>
      <c r="I13" s="23"/>
      <c r="J13" s="19"/>
      <c r="K13" s="23"/>
      <c r="L13" s="19"/>
      <c r="M13" s="23"/>
      <c r="N13" s="19"/>
      <c r="O13" s="23"/>
      <c r="P13" s="19"/>
      <c r="Q13" s="23"/>
      <c r="R13" s="19"/>
      <c r="S13" s="23">
        <v>192</v>
      </c>
      <c r="T13" s="19"/>
      <c r="U13" s="23"/>
      <c r="V13" s="19"/>
      <c r="W13" s="23">
        <v>360</v>
      </c>
      <c r="X13" s="19"/>
      <c r="Y13" s="23">
        <v>89</v>
      </c>
      <c r="Z13" s="19"/>
      <c r="AA13" s="23"/>
      <c r="AB13" s="19"/>
      <c r="AC13" s="23"/>
      <c r="AD13" s="19"/>
      <c r="AE13" s="23"/>
      <c r="AF13" s="19"/>
      <c r="AG13" s="23"/>
      <c r="AH13" s="19"/>
      <c r="AI13" s="23"/>
      <c r="AJ13" s="215"/>
      <c r="AK13" s="23"/>
      <c r="AL13" s="22"/>
      <c r="AM13" s="23"/>
      <c r="AN13" s="17"/>
      <c r="AO13" s="18"/>
      <c r="AP13" s="26"/>
      <c r="AQ13" s="27"/>
      <c r="AR13" s="28"/>
      <c r="AS13" s="29"/>
      <c r="AT13" s="19"/>
      <c r="AU13" s="23"/>
      <c r="AV13" s="42">
        <f t="shared" si="0"/>
        <v>0</v>
      </c>
      <c r="AW13" s="224">
        <f t="shared" si="1"/>
        <v>643</v>
      </c>
      <c r="AX13" s="28"/>
      <c r="AY13" s="29"/>
      <c r="AZ13" s="61">
        <f t="shared" si="2"/>
        <v>0</v>
      </c>
      <c r="BA13" s="62">
        <f t="shared" si="3"/>
        <v>643</v>
      </c>
    </row>
    <row r="14" spans="1:53" ht="15">
      <c r="A14" s="48" t="s">
        <v>18</v>
      </c>
      <c r="B14" s="12"/>
      <c r="C14" s="65"/>
      <c r="D14" s="19"/>
      <c r="E14" s="23"/>
      <c r="F14" s="19"/>
      <c r="G14" s="23"/>
      <c r="H14" s="19">
        <v>5920</v>
      </c>
      <c r="I14" s="23"/>
      <c r="J14" s="19"/>
      <c r="K14" s="23"/>
      <c r="L14" s="19"/>
      <c r="M14" s="23"/>
      <c r="N14" s="19"/>
      <c r="O14" s="23"/>
      <c r="P14" s="19"/>
      <c r="Q14" s="23"/>
      <c r="R14" s="19"/>
      <c r="S14" s="23"/>
      <c r="T14" s="19"/>
      <c r="U14" s="23"/>
      <c r="V14" s="19"/>
      <c r="W14" s="23"/>
      <c r="X14" s="19"/>
      <c r="Y14" s="23">
        <v>25282</v>
      </c>
      <c r="Z14" s="19"/>
      <c r="AA14" s="23"/>
      <c r="AB14" s="19"/>
      <c r="AC14" s="23"/>
      <c r="AD14" s="19"/>
      <c r="AE14" s="23"/>
      <c r="AF14" s="19"/>
      <c r="AG14" s="23"/>
      <c r="AH14" s="19"/>
      <c r="AI14" s="23"/>
      <c r="AJ14" s="215"/>
      <c r="AK14" s="23"/>
      <c r="AL14" s="22"/>
      <c r="AM14" s="23"/>
      <c r="AN14" s="17"/>
      <c r="AO14" s="18"/>
      <c r="AP14" s="26"/>
      <c r="AQ14" s="27"/>
      <c r="AR14" s="28"/>
      <c r="AS14" s="29"/>
      <c r="AT14" s="19"/>
      <c r="AU14" s="23"/>
      <c r="AV14" s="42">
        <f t="shared" si="0"/>
        <v>5920</v>
      </c>
      <c r="AW14" s="224">
        <f t="shared" si="1"/>
        <v>25282</v>
      </c>
      <c r="AX14" s="28"/>
      <c r="AY14" s="29"/>
      <c r="AZ14" s="61">
        <f t="shared" si="2"/>
        <v>5920</v>
      </c>
      <c r="BA14" s="62">
        <f t="shared" si="3"/>
        <v>25282</v>
      </c>
    </row>
    <row r="15" spans="1:53" ht="15.75" thickBot="1">
      <c r="A15" s="48" t="s">
        <v>19</v>
      </c>
      <c r="B15" s="611"/>
      <c r="C15" s="612"/>
      <c r="D15" s="613"/>
      <c r="E15" s="614"/>
      <c r="F15" s="613"/>
      <c r="G15" s="614"/>
      <c r="H15" s="613"/>
      <c r="I15" s="614"/>
      <c r="J15" s="613"/>
      <c r="K15" s="614"/>
      <c r="L15" s="613"/>
      <c r="M15" s="614"/>
      <c r="N15" s="613"/>
      <c r="O15" s="614"/>
      <c r="P15" s="613"/>
      <c r="Q15" s="614"/>
      <c r="R15" s="613"/>
      <c r="S15" s="614"/>
      <c r="T15" s="613"/>
      <c r="U15" s="614"/>
      <c r="V15" s="613"/>
      <c r="W15" s="614"/>
      <c r="X15" s="613"/>
      <c r="Y15" s="614">
        <v>4031</v>
      </c>
      <c r="Z15" s="613"/>
      <c r="AA15" s="614"/>
      <c r="AB15" s="613"/>
      <c r="AC15" s="614"/>
      <c r="AD15" s="613"/>
      <c r="AE15" s="614"/>
      <c r="AF15" s="613"/>
      <c r="AG15" s="614"/>
      <c r="AH15" s="613"/>
      <c r="AI15" s="614"/>
      <c r="AJ15" s="222"/>
      <c r="AK15" s="614"/>
      <c r="AL15" s="278"/>
      <c r="AM15" s="280"/>
      <c r="AN15" s="615"/>
      <c r="AO15" s="616"/>
      <c r="AP15" s="617"/>
      <c r="AQ15" s="618"/>
      <c r="AR15" s="619"/>
      <c r="AS15" s="620"/>
      <c r="AT15" s="613"/>
      <c r="AU15" s="614"/>
      <c r="AV15" s="621">
        <f t="shared" si="0"/>
        <v>0</v>
      </c>
      <c r="AW15" s="622">
        <f t="shared" si="1"/>
        <v>4031</v>
      </c>
      <c r="AX15" s="619"/>
      <c r="AY15" s="620"/>
      <c r="AZ15" s="623">
        <f t="shared" si="2"/>
        <v>0</v>
      </c>
      <c r="BA15" s="624">
        <f t="shared" si="3"/>
        <v>4031</v>
      </c>
    </row>
    <row r="16" spans="1:53" s="395" customFormat="1" ht="15" thickBot="1">
      <c r="A16" s="697" t="s">
        <v>20</v>
      </c>
      <c r="B16" s="625">
        <f aca="true" t="shared" si="4" ref="B16:AG16">SUM(B5:B15)</f>
        <v>287104</v>
      </c>
      <c r="C16" s="625">
        <f t="shared" si="4"/>
        <v>302424</v>
      </c>
      <c r="D16" s="625">
        <f t="shared" si="4"/>
        <v>56826</v>
      </c>
      <c r="E16" s="625">
        <f t="shared" si="4"/>
        <v>47834</v>
      </c>
      <c r="F16" s="625">
        <f t="shared" si="4"/>
        <v>48692</v>
      </c>
      <c r="G16" s="625">
        <f t="shared" si="4"/>
        <v>35095</v>
      </c>
      <c r="H16" s="625">
        <f t="shared" si="4"/>
        <v>273574</v>
      </c>
      <c r="I16" s="625">
        <f t="shared" si="4"/>
        <v>260722</v>
      </c>
      <c r="J16" s="625">
        <f t="shared" si="4"/>
        <v>96755</v>
      </c>
      <c r="K16" s="625">
        <f t="shared" si="4"/>
        <v>111376</v>
      </c>
      <c r="L16" s="625">
        <f t="shared" si="4"/>
        <v>75982</v>
      </c>
      <c r="M16" s="625">
        <f t="shared" si="4"/>
        <v>91088</v>
      </c>
      <c r="N16" s="625">
        <f t="shared" si="4"/>
        <v>54779</v>
      </c>
      <c r="O16" s="625">
        <f t="shared" si="4"/>
        <v>63014</v>
      </c>
      <c r="P16" s="625">
        <f t="shared" si="4"/>
        <v>37782</v>
      </c>
      <c r="Q16" s="625">
        <f t="shared" si="4"/>
        <v>45772</v>
      </c>
      <c r="R16" s="625">
        <f t="shared" si="4"/>
        <v>183114</v>
      </c>
      <c r="S16" s="625">
        <f t="shared" si="4"/>
        <v>175008</v>
      </c>
      <c r="T16" s="625">
        <f t="shared" si="4"/>
        <v>29476</v>
      </c>
      <c r="U16" s="625">
        <f t="shared" si="4"/>
        <v>41744</v>
      </c>
      <c r="V16" s="625">
        <f t="shared" si="4"/>
        <v>1150290</v>
      </c>
      <c r="W16" s="625">
        <f t="shared" si="4"/>
        <v>1082253</v>
      </c>
      <c r="X16" s="625">
        <f t="shared" si="4"/>
        <v>580296</v>
      </c>
      <c r="Y16" s="625">
        <f t="shared" si="4"/>
        <v>701918</v>
      </c>
      <c r="Z16" s="625">
        <f t="shared" si="4"/>
        <v>108926</v>
      </c>
      <c r="AA16" s="625">
        <f t="shared" si="4"/>
        <v>121026</v>
      </c>
      <c r="AB16" s="625">
        <f t="shared" si="4"/>
        <v>95002</v>
      </c>
      <c r="AC16" s="625">
        <f t="shared" si="4"/>
        <v>125887</v>
      </c>
      <c r="AD16" s="625">
        <f t="shared" si="4"/>
        <v>259918</v>
      </c>
      <c r="AE16" s="625">
        <f t="shared" si="4"/>
        <v>298979</v>
      </c>
      <c r="AF16" s="625">
        <f t="shared" si="4"/>
        <v>460068</v>
      </c>
      <c r="AG16" s="625">
        <f t="shared" si="4"/>
        <v>503060</v>
      </c>
      <c r="AH16" s="625">
        <f aca="true" t="shared" si="5" ref="AH16:AU16">SUM(AH5:AH15)</f>
        <v>240592</v>
      </c>
      <c r="AI16" s="625">
        <f t="shared" si="5"/>
        <v>216632</v>
      </c>
      <c r="AJ16" s="625">
        <f t="shared" si="5"/>
        <v>364505</v>
      </c>
      <c r="AK16" s="629">
        <f t="shared" si="5"/>
        <v>272067</v>
      </c>
      <c r="AL16" s="628">
        <f t="shared" si="5"/>
        <v>19540</v>
      </c>
      <c r="AM16" s="627">
        <f t="shared" si="5"/>
        <v>16058</v>
      </c>
      <c r="AN16" s="626">
        <f t="shared" si="5"/>
        <v>1273010</v>
      </c>
      <c r="AO16" s="627">
        <f t="shared" si="5"/>
        <v>1274191</v>
      </c>
      <c r="AP16" s="625">
        <f t="shared" si="5"/>
        <v>265025</v>
      </c>
      <c r="AQ16" s="625">
        <f t="shared" si="5"/>
        <v>198903</v>
      </c>
      <c r="AR16" s="625">
        <f t="shared" si="5"/>
        <v>90316</v>
      </c>
      <c r="AS16" s="625">
        <f t="shared" si="5"/>
        <v>119785</v>
      </c>
      <c r="AT16" s="625">
        <f t="shared" si="5"/>
        <v>136380</v>
      </c>
      <c r="AU16" s="629">
        <f t="shared" si="5"/>
        <v>183223</v>
      </c>
      <c r="AV16" s="630">
        <f t="shared" si="0"/>
        <v>6187952</v>
      </c>
      <c r="AW16" s="631">
        <f t="shared" si="1"/>
        <v>6288059</v>
      </c>
      <c r="AX16" s="632">
        <f>SUM(AX5:AX15)</f>
        <v>20516523</v>
      </c>
      <c r="AY16" s="633">
        <f>SUM(AY5:AY15)</f>
        <v>20103242</v>
      </c>
      <c r="AZ16" s="634">
        <f t="shared" si="2"/>
        <v>26704475</v>
      </c>
      <c r="BA16" s="635">
        <f t="shared" si="3"/>
        <v>26391301</v>
      </c>
    </row>
    <row r="17" spans="1:53" s="716" customFormat="1" ht="15" thickBot="1">
      <c r="A17" s="699" t="s">
        <v>11</v>
      </c>
      <c r="B17" s="700">
        <v>12</v>
      </c>
      <c r="C17" s="701"/>
      <c r="D17" s="702">
        <v>15</v>
      </c>
      <c r="E17" s="703">
        <v>22</v>
      </c>
      <c r="F17" s="702">
        <v>778</v>
      </c>
      <c r="G17" s="703">
        <v>49</v>
      </c>
      <c r="H17" s="702"/>
      <c r="I17" s="703"/>
      <c r="J17" s="702"/>
      <c r="K17" s="703"/>
      <c r="L17" s="702"/>
      <c r="M17" s="703"/>
      <c r="N17" s="702">
        <v>1242</v>
      </c>
      <c r="O17" s="703">
        <v>2345</v>
      </c>
      <c r="P17" s="706"/>
      <c r="Q17" s="707"/>
      <c r="R17" s="706">
        <v>8805</v>
      </c>
      <c r="S17" s="707">
        <v>13017</v>
      </c>
      <c r="T17" s="706"/>
      <c r="U17" s="707">
        <v>31</v>
      </c>
      <c r="V17" s="706"/>
      <c r="W17" s="707"/>
      <c r="X17" s="706"/>
      <c r="Y17" s="707"/>
      <c r="Z17" s="706"/>
      <c r="AA17" s="707"/>
      <c r="AB17" s="702"/>
      <c r="AC17" s="703"/>
      <c r="AD17" s="702"/>
      <c r="AE17" s="703"/>
      <c r="AF17" s="702"/>
      <c r="AG17" s="703"/>
      <c r="AH17" s="702">
        <v>-10</v>
      </c>
      <c r="AI17" s="703"/>
      <c r="AJ17" s="704"/>
      <c r="AK17" s="703"/>
      <c r="AL17" s="813"/>
      <c r="AM17" s="708"/>
      <c r="AN17" s="709"/>
      <c r="AO17" s="710"/>
      <c r="AP17" s="711"/>
      <c r="AQ17" s="712"/>
      <c r="AR17" s="713"/>
      <c r="AS17" s="714"/>
      <c r="AT17" s="702"/>
      <c r="AU17" s="703"/>
      <c r="AV17" s="706">
        <f t="shared" si="0"/>
        <v>10842</v>
      </c>
      <c r="AW17" s="707">
        <f t="shared" si="1"/>
        <v>15464</v>
      </c>
      <c r="AX17" s="713"/>
      <c r="AY17" s="714"/>
      <c r="AZ17" s="705">
        <f t="shared" si="2"/>
        <v>10842</v>
      </c>
      <c r="BA17" s="715">
        <f t="shared" si="3"/>
        <v>15464</v>
      </c>
    </row>
    <row r="18" spans="1:53" s="395" customFormat="1" ht="15" thickBot="1">
      <c r="A18" s="697" t="s">
        <v>12</v>
      </c>
      <c r="B18" s="625">
        <f aca="true" t="shared" si="6" ref="B18:AG18">B16+B17</f>
        <v>287116</v>
      </c>
      <c r="C18" s="625">
        <f t="shared" si="6"/>
        <v>302424</v>
      </c>
      <c r="D18" s="625">
        <f t="shared" si="6"/>
        <v>56841</v>
      </c>
      <c r="E18" s="625">
        <f t="shared" si="6"/>
        <v>47856</v>
      </c>
      <c r="F18" s="625">
        <f t="shared" si="6"/>
        <v>49470</v>
      </c>
      <c r="G18" s="625">
        <f t="shared" si="6"/>
        <v>35144</v>
      </c>
      <c r="H18" s="625">
        <f t="shared" si="6"/>
        <v>273574</v>
      </c>
      <c r="I18" s="625">
        <f t="shared" si="6"/>
        <v>260722</v>
      </c>
      <c r="J18" s="625">
        <f t="shared" si="6"/>
        <v>96755</v>
      </c>
      <c r="K18" s="625">
        <f t="shared" si="6"/>
        <v>111376</v>
      </c>
      <c r="L18" s="625">
        <f t="shared" si="6"/>
        <v>75982</v>
      </c>
      <c r="M18" s="625">
        <f t="shared" si="6"/>
        <v>91088</v>
      </c>
      <c r="N18" s="625">
        <f t="shared" si="6"/>
        <v>56021</v>
      </c>
      <c r="O18" s="625">
        <f t="shared" si="6"/>
        <v>65359</v>
      </c>
      <c r="P18" s="625">
        <f t="shared" si="6"/>
        <v>37782</v>
      </c>
      <c r="Q18" s="625">
        <f t="shared" si="6"/>
        <v>45772</v>
      </c>
      <c r="R18" s="625">
        <f t="shared" si="6"/>
        <v>191919</v>
      </c>
      <c r="S18" s="625">
        <f t="shared" si="6"/>
        <v>188025</v>
      </c>
      <c r="T18" s="625">
        <f t="shared" si="6"/>
        <v>29476</v>
      </c>
      <c r="U18" s="625">
        <f t="shared" si="6"/>
        <v>41775</v>
      </c>
      <c r="V18" s="625">
        <f t="shared" si="6"/>
        <v>1150290</v>
      </c>
      <c r="W18" s="625">
        <f t="shared" si="6"/>
        <v>1082253</v>
      </c>
      <c r="X18" s="625">
        <f t="shared" si="6"/>
        <v>580296</v>
      </c>
      <c r="Y18" s="625">
        <f t="shared" si="6"/>
        <v>701918</v>
      </c>
      <c r="Z18" s="625">
        <f t="shared" si="6"/>
        <v>108926</v>
      </c>
      <c r="AA18" s="625">
        <f t="shared" si="6"/>
        <v>121026</v>
      </c>
      <c r="AB18" s="625">
        <f t="shared" si="6"/>
        <v>95002</v>
      </c>
      <c r="AC18" s="625">
        <f t="shared" si="6"/>
        <v>125887</v>
      </c>
      <c r="AD18" s="625">
        <f t="shared" si="6"/>
        <v>259918</v>
      </c>
      <c r="AE18" s="625">
        <f t="shared" si="6"/>
        <v>298979</v>
      </c>
      <c r="AF18" s="625">
        <f t="shared" si="6"/>
        <v>460068</v>
      </c>
      <c r="AG18" s="625">
        <f t="shared" si="6"/>
        <v>503060</v>
      </c>
      <c r="AH18" s="625">
        <f aca="true" t="shared" si="7" ref="AH18:AU18">AH16+AH17</f>
        <v>240582</v>
      </c>
      <c r="AI18" s="625">
        <f t="shared" si="7"/>
        <v>216632</v>
      </c>
      <c r="AJ18" s="625">
        <f t="shared" si="7"/>
        <v>364505</v>
      </c>
      <c r="AK18" s="629">
        <f t="shared" si="7"/>
        <v>272067</v>
      </c>
      <c r="AL18" s="628">
        <f t="shared" si="7"/>
        <v>19540</v>
      </c>
      <c r="AM18" s="627">
        <f t="shared" si="7"/>
        <v>16058</v>
      </c>
      <c r="AN18" s="626">
        <f t="shared" si="7"/>
        <v>1273010</v>
      </c>
      <c r="AO18" s="627">
        <f t="shared" si="7"/>
        <v>1274191</v>
      </c>
      <c r="AP18" s="625">
        <f t="shared" si="7"/>
        <v>265025</v>
      </c>
      <c r="AQ18" s="625">
        <f t="shared" si="7"/>
        <v>198903</v>
      </c>
      <c r="AR18" s="625">
        <f t="shared" si="7"/>
        <v>90316</v>
      </c>
      <c r="AS18" s="625">
        <f t="shared" si="7"/>
        <v>119785</v>
      </c>
      <c r="AT18" s="625">
        <f t="shared" si="7"/>
        <v>136380</v>
      </c>
      <c r="AU18" s="629">
        <f t="shared" si="7"/>
        <v>183223</v>
      </c>
      <c r="AV18" s="630">
        <f t="shared" si="0"/>
        <v>6198794</v>
      </c>
      <c r="AW18" s="631">
        <f t="shared" si="1"/>
        <v>6303523</v>
      </c>
      <c r="AX18" s="634">
        <f>AX16+AX17</f>
        <v>20516523</v>
      </c>
      <c r="AY18" s="635">
        <f>AY16+AY17</f>
        <v>20103242</v>
      </c>
      <c r="AZ18" s="634">
        <f t="shared" si="2"/>
        <v>26715317</v>
      </c>
      <c r="BA18" s="635">
        <f t="shared" si="3"/>
        <v>26406765</v>
      </c>
    </row>
  </sheetData>
  <sheetProtection/>
  <mergeCells count="29">
    <mergeCell ref="B3:C3"/>
    <mergeCell ref="P3:Q3"/>
    <mergeCell ref="L3:M3"/>
    <mergeCell ref="N3:O3"/>
    <mergeCell ref="J3:K3"/>
    <mergeCell ref="H3:I3"/>
    <mergeCell ref="F3:G3"/>
    <mergeCell ref="Z3:AA3"/>
    <mergeCell ref="X3:Y3"/>
    <mergeCell ref="V3:W3"/>
    <mergeCell ref="T3:U3"/>
    <mergeCell ref="R3:S3"/>
    <mergeCell ref="D3:E3"/>
    <mergeCell ref="AL3:AM3"/>
    <mergeCell ref="AN3:AO3"/>
    <mergeCell ref="AF3:AG3"/>
    <mergeCell ref="AH3:AI3"/>
    <mergeCell ref="AD3:AE3"/>
    <mergeCell ref="AB3:AC3"/>
    <mergeCell ref="A1:AY1"/>
    <mergeCell ref="A2:AY2"/>
    <mergeCell ref="A3:A4"/>
    <mergeCell ref="AZ3:BA3"/>
    <mergeCell ref="AX3:AY3"/>
    <mergeCell ref="AV3:AW3"/>
    <mergeCell ref="AT3:AU3"/>
    <mergeCell ref="AR3:AS3"/>
    <mergeCell ref="AP3:AQ3"/>
    <mergeCell ref="AJ3:AK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8" sqref="E8"/>
    </sheetView>
  </sheetViews>
  <sheetFormatPr defaultColWidth="9.140625" defaultRowHeight="15"/>
  <cols>
    <col min="1" max="1" width="27.8515625" style="41" bestFit="1" customWidth="1"/>
    <col min="2" max="2" width="12.421875" style="41" bestFit="1" customWidth="1"/>
    <col min="3" max="7" width="12.8515625" style="41" bestFit="1" customWidth="1"/>
    <col min="8" max="8" width="12.421875" style="41" bestFit="1" customWidth="1"/>
    <col min="9" max="14" width="12.8515625" style="41" bestFit="1" customWidth="1"/>
    <col min="15" max="15" width="13.28125" style="41" bestFit="1" customWidth="1"/>
    <col min="16" max="16" width="12.8515625" style="41" bestFit="1" customWidth="1"/>
    <col min="17" max="17" width="13.28125" style="41" bestFit="1" customWidth="1"/>
    <col min="18" max="18" width="12.8515625" style="41" bestFit="1" customWidth="1"/>
    <col min="19" max="19" width="13.28125" style="41" bestFit="1" customWidth="1"/>
    <col min="20" max="32" width="12.8515625" style="41" bestFit="1" customWidth="1"/>
    <col min="33" max="33" width="13.28125" style="41" bestFit="1" customWidth="1"/>
    <col min="34" max="36" width="12.8515625" style="41" bestFit="1" customWidth="1"/>
    <col min="37" max="37" width="13.28125" style="41" bestFit="1" customWidth="1"/>
    <col min="38" max="38" width="12.8515625" style="41" bestFit="1" customWidth="1"/>
    <col min="39" max="39" width="13.28125" style="41" bestFit="1" customWidth="1"/>
    <col min="40" max="41" width="12.8515625" style="237" bestFit="1" customWidth="1"/>
    <col min="42" max="42" width="12.8515625" style="41" bestFit="1" customWidth="1"/>
    <col min="43" max="43" width="13.28125" style="41" bestFit="1" customWidth="1"/>
    <col min="44" max="44" width="12.8515625" style="41" bestFit="1" customWidth="1"/>
    <col min="45" max="45" width="13.28125" style="41" bestFit="1" customWidth="1"/>
    <col min="46" max="51" width="12.421875" style="41" bestFit="1" customWidth="1"/>
    <col min="52" max="52" width="12.8515625" style="41" bestFit="1" customWidth="1"/>
    <col min="53" max="53" width="12.421875" style="41" bestFit="1" customWidth="1"/>
    <col min="54" max="16384" width="9.140625" style="41" customWidth="1"/>
  </cols>
  <sheetData>
    <row r="1" spans="1:51" ht="14.25">
      <c r="A1" s="1018" t="s">
        <v>111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  <c r="AQ1" s="1018"/>
      <c r="AR1" s="1018"/>
      <c r="AS1" s="1018"/>
      <c r="AT1" s="1018"/>
      <c r="AU1" s="1018"/>
      <c r="AV1" s="1018"/>
      <c r="AW1" s="1018"/>
      <c r="AX1" s="1018"/>
      <c r="AY1" s="1018"/>
    </row>
    <row r="2" spans="1:51" ht="15" thickBot="1">
      <c r="A2" s="1019" t="s">
        <v>112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019"/>
      <c r="AL2" s="1019"/>
      <c r="AM2" s="1019"/>
      <c r="AN2" s="1019"/>
      <c r="AO2" s="1019"/>
      <c r="AP2" s="1019"/>
      <c r="AQ2" s="1019"/>
      <c r="AR2" s="1019"/>
      <c r="AS2" s="1019"/>
      <c r="AT2" s="1019"/>
      <c r="AU2" s="1019"/>
      <c r="AV2" s="1019"/>
      <c r="AW2" s="1019"/>
      <c r="AX2" s="1019"/>
      <c r="AY2" s="1019"/>
    </row>
    <row r="3" spans="1:53" ht="38.25" customHeight="1" thickBot="1">
      <c r="A3" s="1020" t="s">
        <v>0</v>
      </c>
      <c r="B3" s="762" t="s">
        <v>117</v>
      </c>
      <c r="C3" s="763"/>
      <c r="D3" s="1012" t="s">
        <v>118</v>
      </c>
      <c r="E3" s="1013"/>
      <c r="F3" s="1012" t="s">
        <v>119</v>
      </c>
      <c r="G3" s="1013"/>
      <c r="H3" s="1012" t="s">
        <v>120</v>
      </c>
      <c r="I3" s="1013"/>
      <c r="J3" s="1012" t="s">
        <v>121</v>
      </c>
      <c r="K3" s="1013"/>
      <c r="L3" s="1012" t="s">
        <v>122</v>
      </c>
      <c r="M3" s="1013"/>
      <c r="N3" s="1017" t="s">
        <v>123</v>
      </c>
      <c r="O3" s="1013"/>
      <c r="P3" s="1017" t="s">
        <v>124</v>
      </c>
      <c r="Q3" s="1013"/>
      <c r="R3" s="1017" t="s">
        <v>125</v>
      </c>
      <c r="S3" s="1013"/>
      <c r="T3" s="1017" t="s">
        <v>126</v>
      </c>
      <c r="U3" s="1013"/>
      <c r="V3" s="1017" t="s">
        <v>127</v>
      </c>
      <c r="W3" s="1013"/>
      <c r="X3" s="1012" t="s">
        <v>128</v>
      </c>
      <c r="Y3" s="1013"/>
      <c r="Z3" s="1012" t="s">
        <v>129</v>
      </c>
      <c r="AA3" s="1013"/>
      <c r="AB3" s="1012" t="s">
        <v>130</v>
      </c>
      <c r="AC3" s="1013"/>
      <c r="AD3" s="1016" t="s">
        <v>131</v>
      </c>
      <c r="AE3" s="1015"/>
      <c r="AF3" s="1012" t="s">
        <v>132</v>
      </c>
      <c r="AG3" s="1013"/>
      <c r="AH3" s="1017" t="s">
        <v>133</v>
      </c>
      <c r="AI3" s="1013"/>
      <c r="AJ3" s="1012" t="s">
        <v>134</v>
      </c>
      <c r="AK3" s="1013"/>
      <c r="AL3" s="1014" t="s">
        <v>135</v>
      </c>
      <c r="AM3" s="1015"/>
      <c r="AN3" s="1016" t="s">
        <v>136</v>
      </c>
      <c r="AO3" s="1015"/>
      <c r="AP3" s="1017" t="s">
        <v>137</v>
      </c>
      <c r="AQ3" s="1013"/>
      <c r="AR3" s="1017" t="s">
        <v>138</v>
      </c>
      <c r="AS3" s="1012"/>
      <c r="AT3" s="1017" t="s">
        <v>139</v>
      </c>
      <c r="AU3" s="1013"/>
      <c r="AV3" s="1017" t="s">
        <v>1</v>
      </c>
      <c r="AW3" s="1012"/>
      <c r="AX3" s="1016" t="s">
        <v>140</v>
      </c>
      <c r="AY3" s="1015"/>
      <c r="AZ3" s="1016" t="s">
        <v>2</v>
      </c>
      <c r="BA3" s="1015"/>
    </row>
    <row r="4" spans="1:53" s="488" customFormat="1" ht="15" customHeight="1" thickBot="1">
      <c r="A4" s="1021"/>
      <c r="B4" s="536" t="s">
        <v>246</v>
      </c>
      <c r="C4" s="536" t="s">
        <v>247</v>
      </c>
      <c r="D4" s="536" t="s">
        <v>246</v>
      </c>
      <c r="E4" s="536" t="s">
        <v>247</v>
      </c>
      <c r="F4" s="536" t="s">
        <v>246</v>
      </c>
      <c r="G4" s="536" t="s">
        <v>247</v>
      </c>
      <c r="H4" s="536" t="s">
        <v>246</v>
      </c>
      <c r="I4" s="536" t="s">
        <v>247</v>
      </c>
      <c r="J4" s="536" t="s">
        <v>246</v>
      </c>
      <c r="K4" s="536" t="s">
        <v>247</v>
      </c>
      <c r="L4" s="536" t="s">
        <v>246</v>
      </c>
      <c r="M4" s="536" t="s">
        <v>247</v>
      </c>
      <c r="N4" s="536" t="s">
        <v>246</v>
      </c>
      <c r="O4" s="536" t="s">
        <v>247</v>
      </c>
      <c r="P4" s="536" t="s">
        <v>246</v>
      </c>
      <c r="Q4" s="536" t="s">
        <v>247</v>
      </c>
      <c r="R4" s="536" t="s">
        <v>246</v>
      </c>
      <c r="S4" s="536" t="s">
        <v>247</v>
      </c>
      <c r="T4" s="536" t="s">
        <v>246</v>
      </c>
      <c r="U4" s="536" t="s">
        <v>247</v>
      </c>
      <c r="V4" s="536" t="s">
        <v>246</v>
      </c>
      <c r="W4" s="536" t="s">
        <v>247</v>
      </c>
      <c r="X4" s="536" t="s">
        <v>246</v>
      </c>
      <c r="Y4" s="536" t="s">
        <v>247</v>
      </c>
      <c r="Z4" s="536" t="s">
        <v>246</v>
      </c>
      <c r="AA4" s="536" t="s">
        <v>247</v>
      </c>
      <c r="AB4" s="536" t="s">
        <v>246</v>
      </c>
      <c r="AC4" s="536" t="s">
        <v>247</v>
      </c>
      <c r="AD4" s="536" t="s">
        <v>246</v>
      </c>
      <c r="AE4" s="536" t="s">
        <v>247</v>
      </c>
      <c r="AF4" s="536" t="s">
        <v>246</v>
      </c>
      <c r="AG4" s="536" t="s">
        <v>247</v>
      </c>
      <c r="AH4" s="536" t="s">
        <v>246</v>
      </c>
      <c r="AI4" s="536" t="s">
        <v>247</v>
      </c>
      <c r="AJ4" s="536" t="s">
        <v>246</v>
      </c>
      <c r="AK4" s="536" t="s">
        <v>247</v>
      </c>
      <c r="AL4" s="536" t="s">
        <v>246</v>
      </c>
      <c r="AM4" s="536" t="s">
        <v>247</v>
      </c>
      <c r="AN4" s="536" t="s">
        <v>246</v>
      </c>
      <c r="AO4" s="536" t="s">
        <v>247</v>
      </c>
      <c r="AP4" s="536" t="s">
        <v>246</v>
      </c>
      <c r="AQ4" s="536" t="s">
        <v>247</v>
      </c>
      <c r="AR4" s="536" t="s">
        <v>246</v>
      </c>
      <c r="AS4" s="542" t="s">
        <v>247</v>
      </c>
      <c r="AT4" s="533" t="s">
        <v>246</v>
      </c>
      <c r="AU4" s="536" t="s">
        <v>247</v>
      </c>
      <c r="AV4" s="536" t="s">
        <v>246</v>
      </c>
      <c r="AW4" s="542" t="s">
        <v>247</v>
      </c>
      <c r="AX4" s="533" t="s">
        <v>246</v>
      </c>
      <c r="AY4" s="536" t="s">
        <v>247</v>
      </c>
      <c r="AZ4" s="533" t="s">
        <v>246</v>
      </c>
      <c r="BA4" s="536" t="s">
        <v>247</v>
      </c>
    </row>
    <row r="5" spans="1:53" ht="28.5">
      <c r="A5" s="292" t="s">
        <v>76</v>
      </c>
      <c r="B5" s="227">
        <v>3508820</v>
      </c>
      <c r="C5" s="329">
        <v>3349885</v>
      </c>
      <c r="D5" s="493"/>
      <c r="E5" s="494"/>
      <c r="F5" s="493">
        <v>592340</v>
      </c>
      <c r="G5" s="494">
        <v>854103</v>
      </c>
      <c r="H5" s="493">
        <v>3114405</v>
      </c>
      <c r="I5" s="494">
        <v>3689248</v>
      </c>
      <c r="J5" s="493">
        <v>-584616</v>
      </c>
      <c r="K5" s="494">
        <v>1458821</v>
      </c>
      <c r="L5" s="493">
        <f>341997+22170+71834+493235+7070+10118</f>
        <v>946424</v>
      </c>
      <c r="M5" s="494">
        <f>91892+13918+5723+484362+3879+5170+18239+16547</f>
        <v>639730</v>
      </c>
      <c r="N5" s="493">
        <v>1577091</v>
      </c>
      <c r="O5" s="494">
        <v>1829414</v>
      </c>
      <c r="P5" s="493"/>
      <c r="Q5" s="494"/>
      <c r="R5" s="493">
        <v>664712</v>
      </c>
      <c r="S5" s="494">
        <v>1126544</v>
      </c>
      <c r="T5" s="493">
        <v>85972</v>
      </c>
      <c r="U5" s="494">
        <v>54552</v>
      </c>
      <c r="V5" s="493">
        <v>7182475</v>
      </c>
      <c r="W5" s="494">
        <v>7863394</v>
      </c>
      <c r="X5" s="492">
        <v>12076435</v>
      </c>
      <c r="Y5" s="494">
        <v>11315442</v>
      </c>
      <c r="Z5" s="493">
        <v>84503</v>
      </c>
      <c r="AA5" s="494">
        <v>177521</v>
      </c>
      <c r="AB5" s="493">
        <v>223289</v>
      </c>
      <c r="AC5" s="494">
        <v>628719</v>
      </c>
      <c r="AD5" s="493">
        <v>1652252</v>
      </c>
      <c r="AE5" s="494">
        <v>2030560</v>
      </c>
      <c r="AF5" s="493">
        <v>3351180</v>
      </c>
      <c r="AG5" s="494">
        <v>5551160</v>
      </c>
      <c r="AH5" s="493">
        <v>93123</v>
      </c>
      <c r="AI5" s="494">
        <v>146884</v>
      </c>
      <c r="AJ5" s="493">
        <v>792801</v>
      </c>
      <c r="AK5" s="494">
        <v>811185</v>
      </c>
      <c r="AL5" s="494">
        <v>55364</v>
      </c>
      <c r="AM5" s="493">
        <v>72323</v>
      </c>
      <c r="AN5" s="495">
        <v>6655824</v>
      </c>
      <c r="AO5" s="496">
        <v>6545941</v>
      </c>
      <c r="AP5" s="493">
        <v>429406</v>
      </c>
      <c r="AQ5" s="494">
        <v>570875</v>
      </c>
      <c r="AR5" s="493">
        <v>433335</v>
      </c>
      <c r="AS5" s="693">
        <v>602601</v>
      </c>
      <c r="AT5" s="497">
        <v>1003280</v>
      </c>
      <c r="AU5" s="494">
        <v>1023646</v>
      </c>
      <c r="AV5" s="497">
        <f>SUM(B5+D5+F5+H5+J5+L5+N5+P5+R5+T5+V5+X5+Z5+AB5+AD5+AF5+AH5+AJ5+AL5+AN5+AP5+AR5+AT5)</f>
        <v>43938415</v>
      </c>
      <c r="AW5" s="977">
        <f>SUM(C5+E5+G5+I5+K5+M5+O5+Q5+S5+U5+W5+Y5+AA5+AC5+AE5+AG5+AI5+AK5+AM5+AO5+AQ5+AS5+AU5)</f>
        <v>50342548</v>
      </c>
      <c r="AX5" s="497">
        <v>24970348</v>
      </c>
      <c r="AY5" s="494">
        <v>22003336</v>
      </c>
      <c r="AZ5" s="497">
        <f>AV5+AX5</f>
        <v>68908763</v>
      </c>
      <c r="BA5" s="498">
        <f>AW5+AY5</f>
        <v>72345884</v>
      </c>
    </row>
    <row r="6" spans="1:53" ht="14.25">
      <c r="A6" s="293" t="s">
        <v>77</v>
      </c>
      <c r="B6" s="228"/>
      <c r="C6" s="330"/>
      <c r="D6" s="19"/>
      <c r="E6" s="23"/>
      <c r="F6" s="19"/>
      <c r="G6" s="23"/>
      <c r="H6" s="19"/>
      <c r="I6" s="23"/>
      <c r="J6" s="19"/>
      <c r="K6" s="23"/>
      <c r="L6" s="19"/>
      <c r="M6" s="23"/>
      <c r="N6" s="19"/>
      <c r="O6" s="23"/>
      <c r="P6" s="19"/>
      <c r="Q6" s="23"/>
      <c r="R6" s="19"/>
      <c r="S6" s="23"/>
      <c r="T6" s="19"/>
      <c r="U6" s="23"/>
      <c r="V6" s="19"/>
      <c r="W6" s="23"/>
      <c r="X6" s="22"/>
      <c r="Y6" s="23"/>
      <c r="Z6" s="24"/>
      <c r="AA6" s="25"/>
      <c r="AB6" s="19"/>
      <c r="AC6" s="23"/>
      <c r="AD6" s="19"/>
      <c r="AE6" s="23"/>
      <c r="AF6" s="19"/>
      <c r="AG6" s="23"/>
      <c r="AH6" s="19"/>
      <c r="AI6" s="23"/>
      <c r="AJ6" s="19"/>
      <c r="AK6" s="23"/>
      <c r="AL6" s="23"/>
      <c r="AM6" s="19"/>
      <c r="AN6" s="297"/>
      <c r="AO6" s="301"/>
      <c r="AP6" s="26"/>
      <c r="AQ6" s="27"/>
      <c r="AR6" s="28"/>
      <c r="AS6" s="987"/>
      <c r="AT6" s="981"/>
      <c r="AU6" s="23"/>
      <c r="AV6" s="497">
        <f aca="true" t="shared" si="0" ref="AV6:AV42">SUM(B6+D6+F6+H6+J6+L6+N6+P6+R6+T6+V6+X6+Z6+AB6+AD6+AF6+AH6+AJ6+AL6+AN6+AP6+AR6+AT6)</f>
        <v>0</v>
      </c>
      <c r="AW6" s="977">
        <f aca="true" t="shared" si="1" ref="AW6:AW42">SUM(C6+E6+G6+I6+K6+M6+O6+Q6+S6+U6+W6+Y6+AA6+AC6+AE6+AG6+AI6+AK6+AM6+AO6+AQ6+AS6+AU6)</f>
        <v>0</v>
      </c>
      <c r="AX6" s="229"/>
      <c r="AY6" s="29"/>
      <c r="AZ6" s="497">
        <f aca="true" t="shared" si="2" ref="AZ6:AZ46">AV6+AX6</f>
        <v>0</v>
      </c>
      <c r="BA6" s="498">
        <f aca="true" t="shared" si="3" ref="BA6:BA46">AW6+AY6</f>
        <v>0</v>
      </c>
    </row>
    <row r="7" spans="1:53" ht="28.5">
      <c r="A7" s="293" t="s">
        <v>78</v>
      </c>
      <c r="B7" s="228">
        <v>1400808</v>
      </c>
      <c r="C7" s="330">
        <v>1359229</v>
      </c>
      <c r="D7" s="19">
        <v>40425</v>
      </c>
      <c r="E7" s="23">
        <v>63596</v>
      </c>
      <c r="F7" s="19">
        <v>623899</v>
      </c>
      <c r="G7" s="23">
        <v>607490</v>
      </c>
      <c r="H7" s="19">
        <v>6501328</v>
      </c>
      <c r="I7" s="23">
        <v>6064853</v>
      </c>
      <c r="J7" s="19">
        <v>154096</v>
      </c>
      <c r="K7" s="23">
        <v>187271</v>
      </c>
      <c r="L7" s="19">
        <v>420286</v>
      </c>
      <c r="M7" s="23">
        <v>499496</v>
      </c>
      <c r="N7" s="19">
        <v>573273</v>
      </c>
      <c r="O7" s="23">
        <v>579991</v>
      </c>
      <c r="P7" s="19">
        <v>379052</v>
      </c>
      <c r="Q7" s="23">
        <v>527456</v>
      </c>
      <c r="R7" s="19">
        <v>542164</v>
      </c>
      <c r="S7" s="23">
        <v>533564</v>
      </c>
      <c r="T7" s="19">
        <v>186720</v>
      </c>
      <c r="U7" s="23">
        <v>148194</v>
      </c>
      <c r="V7" s="19">
        <v>1639411</v>
      </c>
      <c r="W7" s="23">
        <v>1833107</v>
      </c>
      <c r="X7" s="22">
        <v>3900209</v>
      </c>
      <c r="Y7" s="23">
        <v>3763147</v>
      </c>
      <c r="Z7" s="24">
        <v>341199</v>
      </c>
      <c r="AA7" s="25">
        <v>308641</v>
      </c>
      <c r="AB7" s="19">
        <v>331841</v>
      </c>
      <c r="AC7" s="23">
        <v>364594</v>
      </c>
      <c r="AD7" s="19">
        <v>1048879</v>
      </c>
      <c r="AE7" s="23">
        <v>1244779</v>
      </c>
      <c r="AF7" s="19">
        <v>1730939</v>
      </c>
      <c r="AG7" s="23">
        <v>1356069</v>
      </c>
      <c r="AH7" s="19">
        <v>528093</v>
      </c>
      <c r="AI7" s="23">
        <v>566901</v>
      </c>
      <c r="AJ7" s="19">
        <v>1065549</v>
      </c>
      <c r="AK7" s="23">
        <v>943764</v>
      </c>
      <c r="AL7" s="23">
        <v>171758</v>
      </c>
      <c r="AM7" s="19">
        <v>223412</v>
      </c>
      <c r="AN7" s="298">
        <v>2756858</v>
      </c>
      <c r="AO7" s="302">
        <v>3143619</v>
      </c>
      <c r="AP7" s="26">
        <v>258287</v>
      </c>
      <c r="AQ7" s="27">
        <v>215980</v>
      </c>
      <c r="AR7" s="28">
        <v>120824</v>
      </c>
      <c r="AS7" s="987">
        <v>105205</v>
      </c>
      <c r="AT7" s="981">
        <v>1459555</v>
      </c>
      <c r="AU7" s="23">
        <v>1248296</v>
      </c>
      <c r="AV7" s="497">
        <f t="shared" si="0"/>
        <v>26175453</v>
      </c>
      <c r="AW7" s="977">
        <f t="shared" si="1"/>
        <v>25888654</v>
      </c>
      <c r="AX7" s="229">
        <v>319109</v>
      </c>
      <c r="AY7" s="29">
        <v>357699</v>
      </c>
      <c r="AZ7" s="497">
        <f t="shared" si="2"/>
        <v>26494562</v>
      </c>
      <c r="BA7" s="498">
        <f t="shared" si="3"/>
        <v>26246353</v>
      </c>
    </row>
    <row r="8" spans="1:53" ht="28.5">
      <c r="A8" s="293" t="s">
        <v>79</v>
      </c>
      <c r="B8" s="228">
        <v>94220</v>
      </c>
      <c r="C8" s="330">
        <v>131986</v>
      </c>
      <c r="D8" s="19">
        <v>25442</v>
      </c>
      <c r="E8" s="23">
        <v>72915</v>
      </c>
      <c r="F8" s="19">
        <v>57</v>
      </c>
      <c r="G8" s="23">
        <v>13149</v>
      </c>
      <c r="H8" s="19">
        <v>1066712</v>
      </c>
      <c r="I8" s="23">
        <v>2102802</v>
      </c>
      <c r="J8" s="19">
        <v>49944</v>
      </c>
      <c r="K8" s="23">
        <v>48167</v>
      </c>
      <c r="L8" s="19">
        <v>40755</v>
      </c>
      <c r="M8" s="23">
        <v>30747</v>
      </c>
      <c r="N8" s="19">
        <v>82159</v>
      </c>
      <c r="O8" s="23">
        <v>452959</v>
      </c>
      <c r="P8" s="19">
        <v>325768</v>
      </c>
      <c r="Q8" s="23">
        <v>429828</v>
      </c>
      <c r="R8" s="19">
        <v>139496</v>
      </c>
      <c r="S8" s="23">
        <v>360764</v>
      </c>
      <c r="T8" s="19">
        <v>51510</v>
      </c>
      <c r="U8" s="23">
        <v>45920</v>
      </c>
      <c r="V8" s="19">
        <v>136260</v>
      </c>
      <c r="W8" s="23">
        <v>619786</v>
      </c>
      <c r="X8" s="22">
        <v>2005049</v>
      </c>
      <c r="Y8" s="23">
        <v>2881450</v>
      </c>
      <c r="Z8" s="24">
        <v>42078</v>
      </c>
      <c r="AA8" s="25">
        <v>93976</v>
      </c>
      <c r="AB8" s="19">
        <v>1470</v>
      </c>
      <c r="AC8" s="23">
        <v>35054</v>
      </c>
      <c r="AD8" s="19">
        <v>60949</v>
      </c>
      <c r="AE8" s="23">
        <v>25282</v>
      </c>
      <c r="AF8" s="19">
        <v>661165</v>
      </c>
      <c r="AG8" s="23">
        <v>1815053</v>
      </c>
      <c r="AH8" s="19">
        <v>163</v>
      </c>
      <c r="AI8" s="23"/>
      <c r="AJ8" s="19">
        <v>565320</v>
      </c>
      <c r="AK8" s="23">
        <v>416387</v>
      </c>
      <c r="AL8" s="23">
        <v>3038</v>
      </c>
      <c r="AM8" s="19">
        <v>8743</v>
      </c>
      <c r="AN8" s="298">
        <v>368705</v>
      </c>
      <c r="AO8" s="302">
        <v>843600</v>
      </c>
      <c r="AP8" s="26">
        <v>57694</v>
      </c>
      <c r="AQ8" s="27">
        <v>226145</v>
      </c>
      <c r="AR8" s="28">
        <v>22061</v>
      </c>
      <c r="AS8" s="987">
        <v>32394</v>
      </c>
      <c r="AT8" s="981">
        <v>195566</v>
      </c>
      <c r="AU8" s="23">
        <v>1063819</v>
      </c>
      <c r="AV8" s="497">
        <f t="shared" si="0"/>
        <v>5995581</v>
      </c>
      <c r="AW8" s="977">
        <f t="shared" si="1"/>
        <v>11750926</v>
      </c>
      <c r="AX8" s="229"/>
      <c r="AY8" s="29">
        <v>139843</v>
      </c>
      <c r="AZ8" s="497">
        <f t="shared" si="2"/>
        <v>5995581</v>
      </c>
      <c r="BA8" s="498">
        <f t="shared" si="3"/>
        <v>11890769</v>
      </c>
    </row>
    <row r="9" spans="1:53" ht="28.5">
      <c r="A9" s="293" t="s">
        <v>80</v>
      </c>
      <c r="B9" s="228">
        <v>-9223</v>
      </c>
      <c r="C9" s="330">
        <v>-439</v>
      </c>
      <c r="D9" s="19">
        <v>-1450</v>
      </c>
      <c r="E9" s="23"/>
      <c r="F9" s="19"/>
      <c r="G9" s="23">
        <v>-1609</v>
      </c>
      <c r="H9" s="19">
        <v>-117445</v>
      </c>
      <c r="I9" s="23">
        <v>-389491</v>
      </c>
      <c r="J9" s="19">
        <v>-1988</v>
      </c>
      <c r="K9" s="23">
        <v>-20864</v>
      </c>
      <c r="L9" s="19">
        <v>-220</v>
      </c>
      <c r="M9" s="23"/>
      <c r="N9" s="19">
        <v>-5568</v>
      </c>
      <c r="O9" s="23">
        <v>-3529</v>
      </c>
      <c r="P9" s="19">
        <v>-92218</v>
      </c>
      <c r="Q9" s="23">
        <v>-134422</v>
      </c>
      <c r="R9" s="19">
        <v>-128</v>
      </c>
      <c r="S9" s="23">
        <v>-2538</v>
      </c>
      <c r="T9" s="19">
        <v>-12240</v>
      </c>
      <c r="U9" s="23">
        <v>-5839</v>
      </c>
      <c r="V9" s="19">
        <v>-85198</v>
      </c>
      <c r="W9" s="23">
        <v>-153091</v>
      </c>
      <c r="X9" s="22">
        <v>-196145</v>
      </c>
      <c r="Y9" s="23">
        <v>-114046</v>
      </c>
      <c r="Z9" s="24">
        <v>-88205</v>
      </c>
      <c r="AA9" s="25">
        <v>-15295</v>
      </c>
      <c r="AB9" s="19"/>
      <c r="AC9" s="23">
        <v>-4</v>
      </c>
      <c r="AD9" s="19">
        <v>-15275</v>
      </c>
      <c r="AE9" s="23">
        <v>-18826</v>
      </c>
      <c r="AF9" s="19">
        <v>-201972</v>
      </c>
      <c r="AG9" s="23">
        <v>-65618</v>
      </c>
      <c r="AH9" s="19"/>
      <c r="AI9" s="23"/>
      <c r="AJ9" s="19">
        <v>-212384</v>
      </c>
      <c r="AK9" s="23">
        <v>-100992</v>
      </c>
      <c r="AL9" s="23"/>
      <c r="AM9" s="19">
        <v>-10381</v>
      </c>
      <c r="AN9" s="298">
        <v>-84643</v>
      </c>
      <c r="AO9" s="302">
        <v>-30409</v>
      </c>
      <c r="AP9" s="26">
        <v>-8265</v>
      </c>
      <c r="AQ9" s="27">
        <v>-6919</v>
      </c>
      <c r="AR9" s="28">
        <v>-2226</v>
      </c>
      <c r="AS9" s="987">
        <v>-508</v>
      </c>
      <c r="AT9" s="981">
        <v>-7968</v>
      </c>
      <c r="AU9" s="23">
        <v>-3659</v>
      </c>
      <c r="AV9" s="497">
        <f t="shared" si="0"/>
        <v>-1142761</v>
      </c>
      <c r="AW9" s="977">
        <f t="shared" si="1"/>
        <v>-1078479</v>
      </c>
      <c r="AX9" s="229">
        <v>-815</v>
      </c>
      <c r="AY9" s="29">
        <v>-15282</v>
      </c>
      <c r="AZ9" s="497">
        <f t="shared" si="2"/>
        <v>-1143576</v>
      </c>
      <c r="BA9" s="498">
        <f t="shared" si="3"/>
        <v>-1093761</v>
      </c>
    </row>
    <row r="10" spans="1:53" ht="42.75">
      <c r="A10" s="293" t="s">
        <v>81</v>
      </c>
      <c r="B10" s="227"/>
      <c r="C10" s="329"/>
      <c r="D10" s="34">
        <v>28803</v>
      </c>
      <c r="E10" s="38">
        <v>8641</v>
      </c>
      <c r="F10" s="34"/>
      <c r="G10" s="38"/>
      <c r="H10" s="34">
        <v>98543</v>
      </c>
      <c r="I10" s="38">
        <v>-49824</v>
      </c>
      <c r="J10" s="34"/>
      <c r="K10" s="38"/>
      <c r="L10" s="34"/>
      <c r="M10" s="38"/>
      <c r="N10" s="34">
        <v>-6756</v>
      </c>
      <c r="O10" s="38">
        <v>-21916</v>
      </c>
      <c r="P10" s="34"/>
      <c r="Q10" s="38"/>
      <c r="R10" s="34"/>
      <c r="S10" s="38"/>
      <c r="T10" s="34"/>
      <c r="U10" s="38"/>
      <c r="V10" s="34">
        <v>-2162</v>
      </c>
      <c r="W10" s="38">
        <v>-31202</v>
      </c>
      <c r="X10" s="37">
        <v>309798</v>
      </c>
      <c r="Y10" s="38">
        <v>139232</v>
      </c>
      <c r="Z10" s="24">
        <v>47204</v>
      </c>
      <c r="AA10" s="25">
        <v>36941</v>
      </c>
      <c r="AB10" s="34">
        <v>49994</v>
      </c>
      <c r="AC10" s="38">
        <v>71191</v>
      </c>
      <c r="AD10" s="39"/>
      <c r="AE10" s="40"/>
      <c r="AF10" s="34">
        <v>-3314</v>
      </c>
      <c r="AG10" s="38">
        <v>-16274</v>
      </c>
      <c r="AH10" s="34"/>
      <c r="AI10" s="38"/>
      <c r="AJ10" s="34">
        <v>6321</v>
      </c>
      <c r="AK10" s="38">
        <v>-7403</v>
      </c>
      <c r="AL10" s="23">
        <v>-92580</v>
      </c>
      <c r="AM10" s="19">
        <v>-7313</v>
      </c>
      <c r="AN10" s="298">
        <v>136937</v>
      </c>
      <c r="AO10" s="302">
        <v>58783</v>
      </c>
      <c r="AP10" s="26">
        <v>-3810</v>
      </c>
      <c r="AQ10" s="27">
        <v>-3657</v>
      </c>
      <c r="AR10" s="28"/>
      <c r="AS10" s="987"/>
      <c r="AT10" s="35"/>
      <c r="AU10" s="38"/>
      <c r="AV10" s="497">
        <f t="shared" si="0"/>
        <v>568978</v>
      </c>
      <c r="AW10" s="977">
        <f t="shared" si="1"/>
        <v>177199</v>
      </c>
      <c r="AX10" s="35"/>
      <c r="AY10" s="38"/>
      <c r="AZ10" s="497">
        <f t="shared" si="2"/>
        <v>568978</v>
      </c>
      <c r="BA10" s="498">
        <f t="shared" si="3"/>
        <v>177199</v>
      </c>
    </row>
    <row r="11" spans="1:53" ht="14.25">
      <c r="A11" s="293" t="s">
        <v>82</v>
      </c>
      <c r="B11" s="228"/>
      <c r="C11" s="330"/>
      <c r="D11" s="19">
        <v>238</v>
      </c>
      <c r="E11" s="23">
        <v>479</v>
      </c>
      <c r="F11" s="19"/>
      <c r="G11" s="23"/>
      <c r="H11" s="19">
        <v>9364</v>
      </c>
      <c r="I11" s="23"/>
      <c r="J11" s="19"/>
      <c r="K11" s="23"/>
      <c r="L11" s="19">
        <v>557</v>
      </c>
      <c r="M11" s="23">
        <v>141</v>
      </c>
      <c r="N11" s="19"/>
      <c r="O11" s="23"/>
      <c r="P11" s="19">
        <v>14117</v>
      </c>
      <c r="Q11" s="23"/>
      <c r="R11" s="19">
        <v>2630</v>
      </c>
      <c r="S11" s="23"/>
      <c r="T11" s="19">
        <v>10</v>
      </c>
      <c r="U11" s="23"/>
      <c r="V11" s="19">
        <v>105516</v>
      </c>
      <c r="W11" s="23">
        <v>3</v>
      </c>
      <c r="X11" s="22">
        <v>490</v>
      </c>
      <c r="Y11" s="23">
        <v>286303</v>
      </c>
      <c r="Z11" s="19">
        <f>69+973</f>
        <v>1042</v>
      </c>
      <c r="AA11" s="23">
        <f>70+3532</f>
        <v>3602</v>
      </c>
      <c r="AB11" s="19">
        <v>10438</v>
      </c>
      <c r="AC11" s="23">
        <v>11103</v>
      </c>
      <c r="AD11" s="19"/>
      <c r="AE11" s="23"/>
      <c r="AF11" s="19">
        <v>5559</v>
      </c>
      <c r="AG11" s="23">
        <v>4881</v>
      </c>
      <c r="AH11" s="19"/>
      <c r="AI11" s="23"/>
      <c r="AJ11" s="19"/>
      <c r="AK11" s="23"/>
      <c r="AL11" s="23">
        <v>798</v>
      </c>
      <c r="AM11" s="19">
        <v>363</v>
      </c>
      <c r="AN11" s="298">
        <v>79305</v>
      </c>
      <c r="AO11" s="302">
        <v>82143</v>
      </c>
      <c r="AP11" s="26">
        <v>3443</v>
      </c>
      <c r="AQ11" s="27">
        <v>6255</v>
      </c>
      <c r="AR11" s="28">
        <v>98</v>
      </c>
      <c r="AS11" s="987">
        <v>1106</v>
      </c>
      <c r="AT11" s="981"/>
      <c r="AU11" s="23"/>
      <c r="AV11" s="497">
        <f t="shared" si="0"/>
        <v>233605</v>
      </c>
      <c r="AW11" s="977">
        <f t="shared" si="1"/>
        <v>396379</v>
      </c>
      <c r="AX11" s="229"/>
      <c r="AY11" s="29"/>
      <c r="AZ11" s="497">
        <f t="shared" si="2"/>
        <v>233605</v>
      </c>
      <c r="BA11" s="498">
        <f t="shared" si="3"/>
        <v>396379</v>
      </c>
    </row>
    <row r="12" spans="1:53" s="488" customFormat="1" ht="14.25">
      <c r="A12" s="483" t="s">
        <v>238</v>
      </c>
      <c r="B12" s="489">
        <v>4994625</v>
      </c>
      <c r="C12" s="490">
        <v>4840661</v>
      </c>
      <c r="D12" s="489">
        <v>93458</v>
      </c>
      <c r="E12" s="490">
        <v>145631</v>
      </c>
      <c r="F12" s="489">
        <f>SUM(F5:F11)</f>
        <v>1216296</v>
      </c>
      <c r="G12" s="489">
        <f>SUM(G5:G11)</f>
        <v>1473133</v>
      </c>
      <c r="H12" s="489">
        <f>SUM(H5:H11)</f>
        <v>10672907</v>
      </c>
      <c r="I12" s="489">
        <f aca="true" t="shared" si="4" ref="I12:O12">SUM(I5:I11)</f>
        <v>11417588</v>
      </c>
      <c r="J12" s="489">
        <f t="shared" si="4"/>
        <v>-382564</v>
      </c>
      <c r="K12" s="489">
        <f t="shared" si="4"/>
        <v>1673395</v>
      </c>
      <c r="L12" s="489">
        <f t="shared" si="4"/>
        <v>1407802</v>
      </c>
      <c r="M12" s="489">
        <f t="shared" si="4"/>
        <v>1170114</v>
      </c>
      <c r="N12" s="489">
        <f t="shared" si="4"/>
        <v>2220199</v>
      </c>
      <c r="O12" s="489">
        <f t="shared" si="4"/>
        <v>2836919</v>
      </c>
      <c r="P12" s="489">
        <f>SUM(P5:P11)</f>
        <v>626719</v>
      </c>
      <c r="Q12" s="489">
        <f>SUM(Q5:Q11)</f>
        <v>822862</v>
      </c>
      <c r="R12" s="489">
        <f>SUM(R7:R11)</f>
        <v>684162</v>
      </c>
      <c r="S12" s="489">
        <f>SUM(S7:S11)</f>
        <v>891790</v>
      </c>
      <c r="T12" s="489">
        <f aca="true" t="shared" si="5" ref="T12:AU12">SUM(T5:T11)</f>
        <v>311972</v>
      </c>
      <c r="U12" s="489">
        <f t="shared" si="5"/>
        <v>242827</v>
      </c>
      <c r="V12" s="489">
        <f t="shared" si="5"/>
        <v>8976302</v>
      </c>
      <c r="W12" s="489">
        <f t="shared" si="5"/>
        <v>10131997</v>
      </c>
      <c r="X12" s="489">
        <f t="shared" si="5"/>
        <v>18095836</v>
      </c>
      <c r="Y12" s="489">
        <f t="shared" si="5"/>
        <v>18271528</v>
      </c>
      <c r="Z12" s="489">
        <f t="shared" si="5"/>
        <v>427821</v>
      </c>
      <c r="AA12" s="489">
        <f t="shared" si="5"/>
        <v>605386</v>
      </c>
      <c r="AB12" s="489">
        <f t="shared" si="5"/>
        <v>617032</v>
      </c>
      <c r="AC12" s="489">
        <f t="shared" si="5"/>
        <v>1110657</v>
      </c>
      <c r="AD12" s="489">
        <f t="shared" si="5"/>
        <v>2746805</v>
      </c>
      <c r="AE12" s="489">
        <f t="shared" si="5"/>
        <v>3281795</v>
      </c>
      <c r="AF12" s="489">
        <f t="shared" si="5"/>
        <v>5543557</v>
      </c>
      <c r="AG12" s="489">
        <f t="shared" si="5"/>
        <v>8645271</v>
      </c>
      <c r="AH12" s="489">
        <f t="shared" si="5"/>
        <v>621379</v>
      </c>
      <c r="AI12" s="489">
        <f t="shared" si="5"/>
        <v>713785</v>
      </c>
      <c r="AJ12" s="489">
        <f t="shared" si="5"/>
        <v>2217607</v>
      </c>
      <c r="AK12" s="489">
        <f t="shared" si="5"/>
        <v>2062941</v>
      </c>
      <c r="AL12" s="489">
        <f t="shared" si="5"/>
        <v>138378</v>
      </c>
      <c r="AM12" s="489">
        <f t="shared" si="5"/>
        <v>287147</v>
      </c>
      <c r="AN12" s="489">
        <f t="shared" si="5"/>
        <v>9912986</v>
      </c>
      <c r="AO12" s="489">
        <f t="shared" si="5"/>
        <v>10643677</v>
      </c>
      <c r="AP12" s="489">
        <f t="shared" si="5"/>
        <v>736755</v>
      </c>
      <c r="AQ12" s="489">
        <f t="shared" si="5"/>
        <v>1008679</v>
      </c>
      <c r="AR12" s="489">
        <f t="shared" si="5"/>
        <v>574092</v>
      </c>
      <c r="AS12" s="988">
        <f t="shared" si="5"/>
        <v>740798</v>
      </c>
      <c r="AT12" s="980">
        <f t="shared" si="5"/>
        <v>2650433</v>
      </c>
      <c r="AU12" s="490">
        <f t="shared" si="5"/>
        <v>3332102</v>
      </c>
      <c r="AV12" s="497">
        <f t="shared" si="0"/>
        <v>75104559</v>
      </c>
      <c r="AW12" s="977">
        <f t="shared" si="1"/>
        <v>86350683</v>
      </c>
      <c r="AX12" s="980">
        <v>25288642</v>
      </c>
      <c r="AY12" s="490">
        <v>22485596</v>
      </c>
      <c r="AZ12" s="497">
        <f t="shared" si="2"/>
        <v>100393201</v>
      </c>
      <c r="BA12" s="498">
        <f t="shared" si="3"/>
        <v>108836279</v>
      </c>
    </row>
    <row r="13" spans="1:53" ht="42.75">
      <c r="A13" s="293" t="s">
        <v>83</v>
      </c>
      <c r="B13" s="228">
        <v>282573</v>
      </c>
      <c r="C13" s="330">
        <v>1949306</v>
      </c>
      <c r="D13" s="19">
        <v>21503</v>
      </c>
      <c r="E13" s="23">
        <v>690217</v>
      </c>
      <c r="F13" s="19">
        <v>112555</v>
      </c>
      <c r="G13" s="23">
        <v>864288</v>
      </c>
      <c r="H13" s="19">
        <v>408745</v>
      </c>
      <c r="I13" s="23">
        <v>545248</v>
      </c>
      <c r="J13" s="19">
        <v>43676</v>
      </c>
      <c r="K13" s="23">
        <v>2203916</v>
      </c>
      <c r="L13" s="19">
        <v>41504</v>
      </c>
      <c r="M13" s="23">
        <v>47073</v>
      </c>
      <c r="N13" s="19">
        <v>68905</v>
      </c>
      <c r="O13" s="23">
        <v>509788</v>
      </c>
      <c r="P13" s="19">
        <v>47833</v>
      </c>
      <c r="Q13" s="23">
        <v>47214</v>
      </c>
      <c r="R13" s="19">
        <v>29468</v>
      </c>
      <c r="S13" s="23">
        <v>35099</v>
      </c>
      <c r="T13" s="19">
        <f>13504+8464</f>
        <v>21968</v>
      </c>
      <c r="U13" s="23">
        <f>15697+30826</f>
        <v>46523</v>
      </c>
      <c r="V13" s="19">
        <v>213586</v>
      </c>
      <c r="W13" s="23">
        <v>680170</v>
      </c>
      <c r="X13" s="22">
        <v>338409</v>
      </c>
      <c r="Y13" s="23">
        <v>409280</v>
      </c>
      <c r="Z13" s="19">
        <v>53124</v>
      </c>
      <c r="AA13" s="23">
        <v>62753</v>
      </c>
      <c r="AB13" s="19">
        <v>25410</v>
      </c>
      <c r="AC13" s="23">
        <v>62193</v>
      </c>
      <c r="AD13" s="19">
        <v>23640</v>
      </c>
      <c r="AE13" s="23">
        <v>35315</v>
      </c>
      <c r="AF13" s="19">
        <v>222948</v>
      </c>
      <c r="AG13" s="23">
        <v>785905</v>
      </c>
      <c r="AH13" s="19">
        <v>61434</v>
      </c>
      <c r="AI13" s="23">
        <v>75075</v>
      </c>
      <c r="AJ13" s="19">
        <v>387661</v>
      </c>
      <c r="AK13" s="23">
        <v>105333</v>
      </c>
      <c r="AL13" s="23">
        <v>24211</v>
      </c>
      <c r="AM13" s="19">
        <v>273279</v>
      </c>
      <c r="AN13" s="297"/>
      <c r="AO13" s="301"/>
      <c r="AP13" s="26">
        <v>3821</v>
      </c>
      <c r="AQ13" s="27">
        <v>486828</v>
      </c>
      <c r="AR13" s="28">
        <v>44394</v>
      </c>
      <c r="AS13" s="987">
        <v>109363</v>
      </c>
      <c r="AT13" s="981">
        <v>1187578</v>
      </c>
      <c r="AU13" s="23">
        <v>111095</v>
      </c>
      <c r="AV13" s="497">
        <f t="shared" si="0"/>
        <v>3664946</v>
      </c>
      <c r="AW13" s="977">
        <f t="shared" si="1"/>
        <v>10135261</v>
      </c>
      <c r="AX13" s="229">
        <v>12</v>
      </c>
      <c r="AY13" s="29">
        <v>1969</v>
      </c>
      <c r="AZ13" s="497">
        <f t="shared" si="2"/>
        <v>3664958</v>
      </c>
      <c r="BA13" s="498">
        <f t="shared" si="3"/>
        <v>10137230</v>
      </c>
    </row>
    <row r="14" spans="1:53" ht="42.75">
      <c r="A14" s="293" t="s">
        <v>313</v>
      </c>
      <c r="B14" s="228"/>
      <c r="C14" s="330"/>
      <c r="D14" s="19"/>
      <c r="E14" s="23"/>
      <c r="F14" s="19"/>
      <c r="G14" s="23"/>
      <c r="H14" s="19"/>
      <c r="I14" s="23"/>
      <c r="J14" s="19"/>
      <c r="K14" s="23"/>
      <c r="L14" s="19"/>
      <c r="M14" s="23"/>
      <c r="N14" s="19"/>
      <c r="O14" s="23">
        <v>1056313</v>
      </c>
      <c r="P14" s="19"/>
      <c r="Q14" s="23"/>
      <c r="R14" s="19"/>
      <c r="S14" s="23">
        <v>813240</v>
      </c>
      <c r="T14" s="19"/>
      <c r="U14" s="23"/>
      <c r="V14" s="19"/>
      <c r="W14" s="23"/>
      <c r="X14" s="22"/>
      <c r="Y14" s="23"/>
      <c r="Z14" s="19"/>
      <c r="AA14" s="23"/>
      <c r="AB14" s="19"/>
      <c r="AC14" s="23"/>
      <c r="AD14" s="19"/>
      <c r="AE14" s="23"/>
      <c r="AF14" s="19"/>
      <c r="AG14" s="23"/>
      <c r="AH14" s="19"/>
      <c r="AI14" s="23"/>
      <c r="AJ14" s="19"/>
      <c r="AK14" s="23"/>
      <c r="AL14" s="23"/>
      <c r="AM14" s="19"/>
      <c r="AN14" s="297"/>
      <c r="AO14" s="301"/>
      <c r="AP14" s="26"/>
      <c r="AQ14" s="27"/>
      <c r="AR14" s="28"/>
      <c r="AS14" s="987"/>
      <c r="AT14" s="981"/>
      <c r="AU14" s="23"/>
      <c r="AV14" s="497">
        <f t="shared" si="0"/>
        <v>0</v>
      </c>
      <c r="AW14" s="977">
        <f t="shared" si="1"/>
        <v>1869553</v>
      </c>
      <c r="AX14" s="229"/>
      <c r="AY14" s="29"/>
      <c r="AZ14" s="497">
        <f t="shared" si="2"/>
        <v>0</v>
      </c>
      <c r="BA14" s="498">
        <f t="shared" si="3"/>
        <v>1869553</v>
      </c>
    </row>
    <row r="15" spans="1:53" ht="14.25">
      <c r="A15" s="293" t="s">
        <v>84</v>
      </c>
      <c r="B15" s="228"/>
      <c r="C15" s="330"/>
      <c r="D15" s="19"/>
      <c r="E15" s="23"/>
      <c r="F15" s="19"/>
      <c r="G15" s="23"/>
      <c r="H15" s="19"/>
      <c r="I15" s="23"/>
      <c r="J15" s="19"/>
      <c r="K15" s="23"/>
      <c r="L15" s="19"/>
      <c r="M15" s="23"/>
      <c r="N15" s="19"/>
      <c r="O15" s="23"/>
      <c r="P15" s="19"/>
      <c r="Q15" s="23"/>
      <c r="R15" s="19"/>
      <c r="S15" s="23"/>
      <c r="T15" s="19"/>
      <c r="U15" s="23"/>
      <c r="V15" s="19"/>
      <c r="W15" s="23"/>
      <c r="X15" s="22"/>
      <c r="Y15" s="23"/>
      <c r="Z15" s="19"/>
      <c r="AA15" s="23"/>
      <c r="AB15" s="19"/>
      <c r="AC15" s="23"/>
      <c r="AD15" s="19"/>
      <c r="AE15" s="23"/>
      <c r="AF15" s="19"/>
      <c r="AG15" s="23"/>
      <c r="AH15" s="19"/>
      <c r="AI15" s="23"/>
      <c r="AJ15" s="19"/>
      <c r="AK15" s="23"/>
      <c r="AL15" s="23"/>
      <c r="AM15" s="19"/>
      <c r="AN15" s="299"/>
      <c r="AO15" s="303"/>
      <c r="AP15" s="26"/>
      <c r="AQ15" s="27"/>
      <c r="AR15" s="28"/>
      <c r="AS15" s="987"/>
      <c r="AT15" s="981"/>
      <c r="AU15" s="23"/>
      <c r="AV15" s="497">
        <f t="shared" si="0"/>
        <v>0</v>
      </c>
      <c r="AW15" s="977">
        <f t="shared" si="1"/>
        <v>0</v>
      </c>
      <c r="AX15" s="229"/>
      <c r="AY15" s="29"/>
      <c r="AZ15" s="497">
        <f t="shared" si="2"/>
        <v>0</v>
      </c>
      <c r="BA15" s="498">
        <f t="shared" si="3"/>
        <v>0</v>
      </c>
    </row>
    <row r="16" spans="1:53" ht="14.25">
      <c r="A16" s="293" t="s">
        <v>85</v>
      </c>
      <c r="B16" s="227"/>
      <c r="C16" s="329"/>
      <c r="D16" s="34"/>
      <c r="E16" s="38"/>
      <c r="F16" s="34"/>
      <c r="G16" s="38"/>
      <c r="H16" s="34"/>
      <c r="I16" s="38"/>
      <c r="J16" s="34"/>
      <c r="K16" s="38"/>
      <c r="L16" s="34"/>
      <c r="M16" s="38"/>
      <c r="N16" s="34"/>
      <c r="O16" s="38"/>
      <c r="P16" s="34"/>
      <c r="Q16" s="38"/>
      <c r="R16" s="34"/>
      <c r="S16" s="38"/>
      <c r="T16" s="34"/>
      <c r="U16" s="38"/>
      <c r="V16" s="34"/>
      <c r="W16" s="38"/>
      <c r="X16" s="37"/>
      <c r="Y16" s="38"/>
      <c r="Z16" s="24"/>
      <c r="AA16" s="25"/>
      <c r="AB16" s="34"/>
      <c r="AC16" s="38"/>
      <c r="AD16" s="39"/>
      <c r="AE16" s="40"/>
      <c r="AF16" s="34"/>
      <c r="AG16" s="38"/>
      <c r="AH16" s="34"/>
      <c r="AI16" s="38"/>
      <c r="AJ16" s="34"/>
      <c r="AK16" s="38"/>
      <c r="AL16" s="23"/>
      <c r="AM16" s="19"/>
      <c r="AN16" s="298">
        <v>2047</v>
      </c>
      <c r="AO16" s="302">
        <v>4377</v>
      </c>
      <c r="AP16" s="26"/>
      <c r="AQ16" s="27"/>
      <c r="AR16" s="28"/>
      <c r="AS16" s="987"/>
      <c r="AT16" s="35"/>
      <c r="AU16" s="38"/>
      <c r="AV16" s="497">
        <f t="shared" si="0"/>
        <v>2047</v>
      </c>
      <c r="AW16" s="977">
        <f t="shared" si="1"/>
        <v>4377</v>
      </c>
      <c r="AX16" s="35"/>
      <c r="AY16" s="38"/>
      <c r="AZ16" s="497">
        <f t="shared" si="2"/>
        <v>2047</v>
      </c>
      <c r="BA16" s="498">
        <f t="shared" si="3"/>
        <v>4377</v>
      </c>
    </row>
    <row r="17" spans="1:53" ht="28.5">
      <c r="A17" s="293" t="s">
        <v>86</v>
      </c>
      <c r="B17" s="228"/>
      <c r="C17" s="330"/>
      <c r="D17" s="19"/>
      <c r="E17" s="23"/>
      <c r="F17" s="19"/>
      <c r="G17" s="23"/>
      <c r="H17" s="19"/>
      <c r="I17" s="23"/>
      <c r="J17" s="19"/>
      <c r="K17" s="23"/>
      <c r="L17" s="19"/>
      <c r="M17" s="23"/>
      <c r="N17" s="19"/>
      <c r="O17" s="23"/>
      <c r="P17" s="19"/>
      <c r="Q17" s="23"/>
      <c r="R17" s="19"/>
      <c r="S17" s="23"/>
      <c r="T17" s="19"/>
      <c r="U17" s="23"/>
      <c r="V17" s="19"/>
      <c r="W17" s="23"/>
      <c r="X17" s="22"/>
      <c r="Y17" s="23"/>
      <c r="Z17" s="24"/>
      <c r="AA17" s="25"/>
      <c r="AB17" s="19"/>
      <c r="AC17" s="23"/>
      <c r="AD17" s="19"/>
      <c r="AE17" s="23"/>
      <c r="AF17" s="19"/>
      <c r="AG17" s="23"/>
      <c r="AH17" s="19"/>
      <c r="AI17" s="23"/>
      <c r="AJ17" s="19"/>
      <c r="AK17" s="23"/>
      <c r="AL17" s="23"/>
      <c r="AM17" s="19"/>
      <c r="AN17" s="298">
        <v>8173</v>
      </c>
      <c r="AO17" s="302">
        <v>11233</v>
      </c>
      <c r="AP17" s="26"/>
      <c r="AQ17" s="27"/>
      <c r="AR17" s="28"/>
      <c r="AS17" s="987"/>
      <c r="AT17" s="981"/>
      <c r="AU17" s="23"/>
      <c r="AV17" s="497">
        <f t="shared" si="0"/>
        <v>8173</v>
      </c>
      <c r="AW17" s="977">
        <f t="shared" si="1"/>
        <v>11233</v>
      </c>
      <c r="AX17" s="981"/>
      <c r="AY17" s="23"/>
      <c r="AZ17" s="497">
        <f t="shared" si="2"/>
        <v>8173</v>
      </c>
      <c r="BA17" s="498">
        <f t="shared" si="3"/>
        <v>11233</v>
      </c>
    </row>
    <row r="18" spans="1:53" ht="14.25">
      <c r="A18" s="293" t="s">
        <v>87</v>
      </c>
      <c r="B18" s="228"/>
      <c r="C18" s="330"/>
      <c r="D18" s="19"/>
      <c r="E18" s="23"/>
      <c r="F18" s="19"/>
      <c r="G18" s="23"/>
      <c r="H18" s="19"/>
      <c r="I18" s="23"/>
      <c r="J18" s="19"/>
      <c r="K18" s="23"/>
      <c r="L18" s="19"/>
      <c r="M18" s="23"/>
      <c r="N18" s="19"/>
      <c r="O18" s="23"/>
      <c r="P18" s="19"/>
      <c r="Q18" s="23"/>
      <c r="R18" s="19"/>
      <c r="S18" s="23"/>
      <c r="T18" s="19"/>
      <c r="U18" s="23"/>
      <c r="V18" s="19"/>
      <c r="W18" s="23"/>
      <c r="X18" s="22"/>
      <c r="Y18" s="23"/>
      <c r="Z18" s="24"/>
      <c r="AA18" s="25"/>
      <c r="AB18" s="19"/>
      <c r="AC18" s="23"/>
      <c r="AD18" s="19"/>
      <c r="AE18" s="23"/>
      <c r="AF18" s="19"/>
      <c r="AG18" s="23"/>
      <c r="AH18" s="19"/>
      <c r="AI18" s="23"/>
      <c r="AJ18" s="19"/>
      <c r="AK18" s="23"/>
      <c r="AL18" s="23"/>
      <c r="AM18" s="19"/>
      <c r="AN18" s="298">
        <v>-39333</v>
      </c>
      <c r="AO18" s="302">
        <v>3175</v>
      </c>
      <c r="AP18" s="26"/>
      <c r="AQ18" s="27"/>
      <c r="AR18" s="28"/>
      <c r="AS18" s="987"/>
      <c r="AT18" s="981"/>
      <c r="AU18" s="23"/>
      <c r="AV18" s="497">
        <f t="shared" si="0"/>
        <v>-39333</v>
      </c>
      <c r="AW18" s="977">
        <f t="shared" si="1"/>
        <v>3175</v>
      </c>
      <c r="AX18" s="981"/>
      <c r="AY18" s="23"/>
      <c r="AZ18" s="497">
        <f t="shared" si="2"/>
        <v>-39333</v>
      </c>
      <c r="BA18" s="498">
        <f t="shared" si="3"/>
        <v>3175</v>
      </c>
    </row>
    <row r="19" spans="1:53" ht="14.25">
      <c r="A19" s="293" t="s">
        <v>88</v>
      </c>
      <c r="B19" s="228"/>
      <c r="C19" s="330"/>
      <c r="D19" s="19"/>
      <c r="E19" s="23"/>
      <c r="F19" s="19"/>
      <c r="G19" s="23"/>
      <c r="H19" s="19"/>
      <c r="I19" s="23"/>
      <c r="J19" s="19"/>
      <c r="K19" s="23"/>
      <c r="L19" s="19"/>
      <c r="M19" s="23"/>
      <c r="N19" s="19"/>
      <c r="O19" s="23"/>
      <c r="P19" s="19"/>
      <c r="Q19" s="23"/>
      <c r="R19" s="19"/>
      <c r="S19" s="23"/>
      <c r="T19" s="19"/>
      <c r="U19" s="23"/>
      <c r="V19" s="19"/>
      <c r="W19" s="23"/>
      <c r="X19" s="22"/>
      <c r="Y19" s="23"/>
      <c r="Z19" s="24"/>
      <c r="AA19" s="25"/>
      <c r="AB19" s="19"/>
      <c r="AC19" s="23"/>
      <c r="AD19" s="19"/>
      <c r="AE19" s="23"/>
      <c r="AF19" s="19">
        <f>1801+1302+91357+36</f>
        <v>94496</v>
      </c>
      <c r="AG19" s="23">
        <f>1336+25000+47064+1000</f>
        <v>74400</v>
      </c>
      <c r="AH19" s="19">
        <v>23685</v>
      </c>
      <c r="AI19" s="23"/>
      <c r="AJ19" s="19">
        <v>-21120</v>
      </c>
      <c r="AK19" s="23">
        <v>1117828</v>
      </c>
      <c r="AL19" s="23"/>
      <c r="AM19" s="19"/>
      <c r="AN19" s="298">
        <v>170051</v>
      </c>
      <c r="AO19" s="302">
        <v>128046</v>
      </c>
      <c r="AP19" s="26"/>
      <c r="AQ19" s="27"/>
      <c r="AR19" s="28"/>
      <c r="AS19" s="987"/>
      <c r="AT19" s="981"/>
      <c r="AU19" s="23"/>
      <c r="AV19" s="497">
        <f t="shared" si="0"/>
        <v>267112</v>
      </c>
      <c r="AW19" s="977">
        <f t="shared" si="1"/>
        <v>1320274</v>
      </c>
      <c r="AX19" s="981"/>
      <c r="AY19" s="23"/>
      <c r="AZ19" s="497">
        <f t="shared" si="2"/>
        <v>267112</v>
      </c>
      <c r="BA19" s="498">
        <f t="shared" si="3"/>
        <v>1320274</v>
      </c>
    </row>
    <row r="20" spans="1:53" ht="28.5">
      <c r="A20" s="293" t="s">
        <v>89</v>
      </c>
      <c r="B20" s="228">
        <v>48144</v>
      </c>
      <c r="C20" s="330">
        <v>33167</v>
      </c>
      <c r="D20" s="19"/>
      <c r="E20" s="23"/>
      <c r="F20" s="19"/>
      <c r="G20" s="23"/>
      <c r="H20" s="19"/>
      <c r="I20" s="23"/>
      <c r="J20" s="19"/>
      <c r="K20" s="23"/>
      <c r="L20" s="19"/>
      <c r="M20" s="23"/>
      <c r="N20" s="19"/>
      <c r="O20" s="23"/>
      <c r="P20" s="19"/>
      <c r="Q20" s="23"/>
      <c r="R20" s="19">
        <v>2740</v>
      </c>
      <c r="S20" s="23">
        <v>9500</v>
      </c>
      <c r="T20" s="19"/>
      <c r="U20" s="23"/>
      <c r="V20" s="19"/>
      <c r="W20" s="23"/>
      <c r="X20" s="22"/>
      <c r="Y20" s="23"/>
      <c r="Z20" s="24"/>
      <c r="AA20" s="25"/>
      <c r="AB20" s="19"/>
      <c r="AC20" s="23"/>
      <c r="AD20" s="19">
        <v>9600</v>
      </c>
      <c r="AE20" s="23">
        <v>12500</v>
      </c>
      <c r="AF20" s="19">
        <v>97931</v>
      </c>
      <c r="AG20" s="23">
        <v>100397</v>
      </c>
      <c r="AH20" s="19"/>
      <c r="AI20" s="23"/>
      <c r="AJ20" s="19"/>
      <c r="AK20" s="23"/>
      <c r="AL20" s="23"/>
      <c r="AM20" s="19"/>
      <c r="AN20" s="298">
        <v>99431</v>
      </c>
      <c r="AO20" s="302">
        <v>128449</v>
      </c>
      <c r="AP20" s="26"/>
      <c r="AQ20" s="27"/>
      <c r="AR20" s="28">
        <v>5000</v>
      </c>
      <c r="AS20" s="987">
        <v>10005</v>
      </c>
      <c r="AT20" s="981">
        <v>4474</v>
      </c>
      <c r="AU20" s="23">
        <v>6025</v>
      </c>
      <c r="AV20" s="497">
        <f t="shared" si="0"/>
        <v>267320</v>
      </c>
      <c r="AW20" s="977">
        <f t="shared" si="1"/>
        <v>300043</v>
      </c>
      <c r="AX20" s="981"/>
      <c r="AY20" s="23"/>
      <c r="AZ20" s="497">
        <f t="shared" si="2"/>
        <v>267320</v>
      </c>
      <c r="BA20" s="498">
        <f t="shared" si="3"/>
        <v>300043</v>
      </c>
    </row>
    <row r="21" spans="1:53" ht="14.25">
      <c r="A21" s="293" t="s">
        <v>90</v>
      </c>
      <c r="B21" s="227"/>
      <c r="C21" s="329"/>
      <c r="D21" s="34"/>
      <c r="E21" s="38"/>
      <c r="F21" s="34"/>
      <c r="G21" s="38"/>
      <c r="H21" s="34"/>
      <c r="I21" s="38"/>
      <c r="J21" s="34"/>
      <c r="K21" s="38"/>
      <c r="L21" s="34">
        <v>833</v>
      </c>
      <c r="M21" s="38">
        <v>12</v>
      </c>
      <c r="N21" s="34"/>
      <c r="O21" s="38"/>
      <c r="P21" s="34"/>
      <c r="Q21" s="38"/>
      <c r="R21" s="34"/>
      <c r="S21" s="38"/>
      <c r="T21" s="34"/>
      <c r="U21" s="38"/>
      <c r="V21" s="34"/>
      <c r="W21" s="38"/>
      <c r="X21" s="37"/>
      <c r="Y21" s="38"/>
      <c r="Z21" s="24"/>
      <c r="AA21" s="25"/>
      <c r="AB21" s="34"/>
      <c r="AC21" s="38"/>
      <c r="AD21" s="39"/>
      <c r="AE21" s="40"/>
      <c r="AF21" s="34"/>
      <c r="AG21" s="38"/>
      <c r="AH21" s="34"/>
      <c r="AI21" s="38"/>
      <c r="AJ21" s="34"/>
      <c r="AK21" s="38"/>
      <c r="AL21" s="23"/>
      <c r="AM21" s="19"/>
      <c r="AN21" s="299"/>
      <c r="AO21" s="303"/>
      <c r="AP21" s="26"/>
      <c r="AQ21" s="27"/>
      <c r="AR21" s="28">
        <v>75</v>
      </c>
      <c r="AS21" s="987"/>
      <c r="AT21" s="35"/>
      <c r="AU21" s="38"/>
      <c r="AV21" s="497">
        <f t="shared" si="0"/>
        <v>908</v>
      </c>
      <c r="AW21" s="977">
        <f t="shared" si="1"/>
        <v>12</v>
      </c>
      <c r="AX21" s="35"/>
      <c r="AY21" s="38"/>
      <c r="AZ21" s="497">
        <f t="shared" si="2"/>
        <v>908</v>
      </c>
      <c r="BA21" s="498">
        <f t="shared" si="3"/>
        <v>12</v>
      </c>
    </row>
    <row r="22" spans="1:53" ht="28.5">
      <c r="A22" s="293" t="s">
        <v>91</v>
      </c>
      <c r="B22" s="228">
        <v>3263914</v>
      </c>
      <c r="C22" s="330">
        <v>1629995</v>
      </c>
      <c r="D22" s="19">
        <v>1015379</v>
      </c>
      <c r="E22" s="23">
        <v>75312</v>
      </c>
      <c r="F22" s="19">
        <v>1016526</v>
      </c>
      <c r="G22" s="23">
        <v>978825</v>
      </c>
      <c r="H22" s="19">
        <v>435692</v>
      </c>
      <c r="I22" s="23">
        <v>1418653</v>
      </c>
      <c r="J22" s="19">
        <v>688561</v>
      </c>
      <c r="K22" s="23">
        <v>678081</v>
      </c>
      <c r="L22" s="19">
        <f>5638+98205</f>
        <v>103843</v>
      </c>
      <c r="M22" s="23">
        <v>11401</v>
      </c>
      <c r="N22" s="309">
        <v>1567732</v>
      </c>
      <c r="O22" s="23">
        <v>566612</v>
      </c>
      <c r="P22" s="19">
        <v>2126681</v>
      </c>
      <c r="Q22" s="23">
        <v>2933958</v>
      </c>
      <c r="R22" s="19">
        <v>429022</v>
      </c>
      <c r="S22" s="23">
        <v>35417</v>
      </c>
      <c r="T22" s="19">
        <v>646824</v>
      </c>
      <c r="U22" s="23">
        <v>1066442</v>
      </c>
      <c r="V22" s="19">
        <v>380041</v>
      </c>
      <c r="W22" s="23">
        <v>353890</v>
      </c>
      <c r="X22" s="22"/>
      <c r="Y22" s="23">
        <v>18019</v>
      </c>
      <c r="Z22" s="24">
        <v>221871</v>
      </c>
      <c r="AA22" s="25">
        <v>22009</v>
      </c>
      <c r="AB22" s="19">
        <v>514352</v>
      </c>
      <c r="AC22" s="23">
        <v>696170</v>
      </c>
      <c r="AD22" s="19">
        <v>53031</v>
      </c>
      <c r="AE22" s="23">
        <v>27718</v>
      </c>
      <c r="AF22" s="19">
        <v>18743</v>
      </c>
      <c r="AG22" s="23">
        <v>2398</v>
      </c>
      <c r="AH22" s="19"/>
      <c r="AI22" s="23"/>
      <c r="AJ22" s="19">
        <v>3823846</v>
      </c>
      <c r="AK22" s="23">
        <v>1451041</v>
      </c>
      <c r="AL22" s="23">
        <v>48666</v>
      </c>
      <c r="AM22" s="19"/>
      <c r="AN22" s="299">
        <v>930685</v>
      </c>
      <c r="AO22" s="303">
        <v>626829</v>
      </c>
      <c r="AP22" s="26">
        <v>501411</v>
      </c>
      <c r="AQ22" s="27">
        <v>260879</v>
      </c>
      <c r="AR22" s="28">
        <f>279202+1936+15822+123</f>
        <v>297083</v>
      </c>
      <c r="AS22" s="987">
        <f>72905+233</f>
        <v>73138</v>
      </c>
      <c r="AT22" s="981">
        <v>757257</v>
      </c>
      <c r="AU22" s="23">
        <v>1765030</v>
      </c>
      <c r="AV22" s="497">
        <f t="shared" si="0"/>
        <v>18841160</v>
      </c>
      <c r="AW22" s="977">
        <f t="shared" si="1"/>
        <v>14691817</v>
      </c>
      <c r="AX22" s="229"/>
      <c r="AY22" s="29"/>
      <c r="AZ22" s="497">
        <f t="shared" si="2"/>
        <v>18841160</v>
      </c>
      <c r="BA22" s="498">
        <f t="shared" si="3"/>
        <v>14691817</v>
      </c>
    </row>
    <row r="23" spans="1:53" ht="14.25">
      <c r="A23" s="293" t="s">
        <v>92</v>
      </c>
      <c r="B23" s="228"/>
      <c r="C23" s="330"/>
      <c r="D23" s="19"/>
      <c r="E23" s="23"/>
      <c r="F23" s="19"/>
      <c r="G23" s="23"/>
      <c r="H23" s="19"/>
      <c r="I23" s="23"/>
      <c r="J23" s="19"/>
      <c r="K23" s="23"/>
      <c r="L23" s="19"/>
      <c r="M23" s="23"/>
      <c r="N23" s="19"/>
      <c r="O23" s="23"/>
      <c r="P23" s="19"/>
      <c r="Q23" s="23"/>
      <c r="R23" s="19"/>
      <c r="S23" s="23"/>
      <c r="T23" s="19"/>
      <c r="U23" s="23"/>
      <c r="V23" s="19"/>
      <c r="W23" s="23"/>
      <c r="X23" s="22"/>
      <c r="Y23" s="23"/>
      <c r="Z23" s="24"/>
      <c r="AA23" s="25"/>
      <c r="AB23" s="19"/>
      <c r="AC23" s="23"/>
      <c r="AD23" s="19"/>
      <c r="AE23" s="23"/>
      <c r="AF23" s="19"/>
      <c r="AG23" s="23"/>
      <c r="AH23" s="19"/>
      <c r="AI23" s="23"/>
      <c r="AJ23" s="19"/>
      <c r="AK23" s="23"/>
      <c r="AL23" s="23"/>
      <c r="AM23" s="19"/>
      <c r="AN23" s="297"/>
      <c r="AO23" s="301"/>
      <c r="AP23" s="26"/>
      <c r="AQ23" s="27"/>
      <c r="AR23" s="28"/>
      <c r="AS23" s="987"/>
      <c r="AT23" s="981"/>
      <c r="AU23" s="23"/>
      <c r="AV23" s="497">
        <f t="shared" si="0"/>
        <v>0</v>
      </c>
      <c r="AW23" s="977">
        <f t="shared" si="1"/>
        <v>0</v>
      </c>
      <c r="AX23" s="229"/>
      <c r="AY23" s="29"/>
      <c r="AZ23" s="497">
        <f t="shared" si="2"/>
        <v>0</v>
      </c>
      <c r="BA23" s="498">
        <f t="shared" si="3"/>
        <v>0</v>
      </c>
    </row>
    <row r="24" spans="1:53" ht="28.5">
      <c r="A24" s="293" t="s">
        <v>93</v>
      </c>
      <c r="B24" s="228"/>
      <c r="C24" s="330"/>
      <c r="D24" s="19"/>
      <c r="E24" s="23"/>
      <c r="F24" s="19"/>
      <c r="G24" s="23"/>
      <c r="H24" s="19"/>
      <c r="I24" s="23"/>
      <c r="J24" s="19"/>
      <c r="K24" s="23"/>
      <c r="L24" s="19"/>
      <c r="M24" s="23"/>
      <c r="N24" s="19"/>
      <c r="O24" s="23"/>
      <c r="P24" s="19"/>
      <c r="Q24" s="23"/>
      <c r="R24" s="19"/>
      <c r="S24" s="23"/>
      <c r="T24" s="19"/>
      <c r="U24" s="23"/>
      <c r="V24" s="19">
        <v>32633</v>
      </c>
      <c r="W24" s="23">
        <v>-43499</v>
      </c>
      <c r="X24" s="22">
        <v>43908</v>
      </c>
      <c r="Y24" s="23"/>
      <c r="Z24" s="24"/>
      <c r="AA24" s="25"/>
      <c r="AB24" s="19"/>
      <c r="AC24" s="23"/>
      <c r="AD24" s="19"/>
      <c r="AE24" s="23"/>
      <c r="AF24" s="19"/>
      <c r="AG24" s="23"/>
      <c r="AH24" s="19"/>
      <c r="AI24" s="23"/>
      <c r="AJ24" s="19"/>
      <c r="AK24" s="23"/>
      <c r="AL24" s="23"/>
      <c r="AM24" s="19"/>
      <c r="AN24" s="298">
        <v>4125</v>
      </c>
      <c r="AO24" s="302">
        <v>-4125</v>
      </c>
      <c r="AP24" s="26"/>
      <c r="AQ24" s="27"/>
      <c r="AR24" s="28"/>
      <c r="AS24" s="987"/>
      <c r="AT24" s="981"/>
      <c r="AU24" s="23"/>
      <c r="AV24" s="497">
        <f t="shared" si="0"/>
        <v>80666</v>
      </c>
      <c r="AW24" s="977">
        <f t="shared" si="1"/>
        <v>-47624</v>
      </c>
      <c r="AX24" s="229"/>
      <c r="AY24" s="29"/>
      <c r="AZ24" s="497">
        <f t="shared" si="2"/>
        <v>80666</v>
      </c>
      <c r="BA24" s="498">
        <f t="shared" si="3"/>
        <v>-47624</v>
      </c>
    </row>
    <row r="25" spans="1:53" ht="14.25">
      <c r="A25" s="293" t="s">
        <v>94</v>
      </c>
      <c r="B25" s="228"/>
      <c r="C25" s="330"/>
      <c r="D25" s="19">
        <v>100483</v>
      </c>
      <c r="E25" s="23">
        <v>4900</v>
      </c>
      <c r="F25" s="19"/>
      <c r="G25" s="23"/>
      <c r="H25" s="19"/>
      <c r="I25" s="23"/>
      <c r="J25" s="19"/>
      <c r="K25" s="23"/>
      <c r="L25" s="19">
        <v>1579</v>
      </c>
      <c r="M25" s="23">
        <v>-1040</v>
      </c>
      <c r="N25" s="19"/>
      <c r="O25" s="23"/>
      <c r="P25" s="19"/>
      <c r="Q25" s="23"/>
      <c r="R25" s="19"/>
      <c r="S25" s="23"/>
      <c r="T25" s="19"/>
      <c r="U25" s="23"/>
      <c r="V25" s="19"/>
      <c r="W25" s="23"/>
      <c r="X25" s="22"/>
      <c r="Y25" s="23"/>
      <c r="Z25" s="24"/>
      <c r="AA25" s="25"/>
      <c r="AB25" s="19"/>
      <c r="AC25" s="23">
        <v>630</v>
      </c>
      <c r="AD25" s="19"/>
      <c r="AE25" s="23"/>
      <c r="AF25" s="19"/>
      <c r="AG25" s="23"/>
      <c r="AH25" s="19"/>
      <c r="AI25" s="23"/>
      <c r="AJ25" s="19"/>
      <c r="AK25" s="23"/>
      <c r="AL25" s="23"/>
      <c r="AM25" s="19"/>
      <c r="AN25" s="299"/>
      <c r="AO25" s="303"/>
      <c r="AP25" s="26"/>
      <c r="AQ25" s="27"/>
      <c r="AR25" s="28"/>
      <c r="AS25" s="987"/>
      <c r="AT25" s="981"/>
      <c r="AU25" s="23"/>
      <c r="AV25" s="497">
        <f t="shared" si="0"/>
        <v>102062</v>
      </c>
      <c r="AW25" s="977">
        <f t="shared" si="1"/>
        <v>4490</v>
      </c>
      <c r="AX25" s="229"/>
      <c r="AY25" s="29"/>
      <c r="AZ25" s="497">
        <f t="shared" si="2"/>
        <v>102062</v>
      </c>
      <c r="BA25" s="498">
        <f t="shared" si="3"/>
        <v>4490</v>
      </c>
    </row>
    <row r="26" spans="1:53" ht="14.25">
      <c r="A26" s="293" t="s">
        <v>165</v>
      </c>
      <c r="B26" s="228"/>
      <c r="C26" s="330"/>
      <c r="D26" s="19"/>
      <c r="E26" s="23"/>
      <c r="F26" s="19"/>
      <c r="G26" s="23"/>
      <c r="H26" s="19"/>
      <c r="I26" s="23"/>
      <c r="J26" s="19"/>
      <c r="K26" s="23"/>
      <c r="L26" s="19"/>
      <c r="M26" s="23"/>
      <c r="N26" s="19"/>
      <c r="O26" s="23"/>
      <c r="P26" s="19"/>
      <c r="Q26" s="23"/>
      <c r="R26" s="19"/>
      <c r="S26" s="23"/>
      <c r="T26" s="19"/>
      <c r="U26" s="23"/>
      <c r="V26" s="19">
        <v>81</v>
      </c>
      <c r="W26" s="23">
        <v>3</v>
      </c>
      <c r="X26" s="22"/>
      <c r="Y26" s="23"/>
      <c r="Z26" s="24">
        <v>7</v>
      </c>
      <c r="AA26" s="25"/>
      <c r="AB26" s="19"/>
      <c r="AC26" s="23"/>
      <c r="AD26" s="19"/>
      <c r="AE26" s="23"/>
      <c r="AF26" s="19"/>
      <c r="AG26" s="23"/>
      <c r="AH26" s="19"/>
      <c r="AI26" s="23"/>
      <c r="AJ26" s="19"/>
      <c r="AK26" s="23"/>
      <c r="AL26" s="23"/>
      <c r="AM26" s="19"/>
      <c r="AN26" s="299"/>
      <c r="AO26" s="303"/>
      <c r="AP26" s="391"/>
      <c r="AQ26" s="27"/>
      <c r="AR26" s="28"/>
      <c r="AS26" s="987"/>
      <c r="AT26" s="981"/>
      <c r="AU26" s="23"/>
      <c r="AV26" s="497">
        <f t="shared" si="0"/>
        <v>88</v>
      </c>
      <c r="AW26" s="977">
        <f t="shared" si="1"/>
        <v>3</v>
      </c>
      <c r="AX26" s="229"/>
      <c r="AY26" s="29"/>
      <c r="AZ26" s="497">
        <f t="shared" si="2"/>
        <v>88</v>
      </c>
      <c r="BA26" s="498">
        <f t="shared" si="3"/>
        <v>3</v>
      </c>
    </row>
    <row r="27" spans="1:53" s="488" customFormat="1" ht="14.25">
      <c r="A27" s="483" t="s">
        <v>237</v>
      </c>
      <c r="B27" s="485">
        <v>3594621</v>
      </c>
      <c r="C27" s="486">
        <v>3612468</v>
      </c>
      <c r="D27" s="485">
        <v>1137365</v>
      </c>
      <c r="E27" s="486">
        <v>770429</v>
      </c>
      <c r="F27" s="485">
        <v>1129081</v>
      </c>
      <c r="G27" s="486">
        <v>1843113</v>
      </c>
      <c r="H27" s="485">
        <v>844427</v>
      </c>
      <c r="I27" s="486">
        <v>1963901</v>
      </c>
      <c r="J27" s="485">
        <v>732237</v>
      </c>
      <c r="K27" s="486">
        <v>2881997</v>
      </c>
      <c r="L27" s="485">
        <v>147759</v>
      </c>
      <c r="M27" s="486">
        <v>57446</v>
      </c>
      <c r="N27" s="485">
        <v>1636637</v>
      </c>
      <c r="O27" s="486">
        <v>2132713</v>
      </c>
      <c r="P27" s="485">
        <v>2174514</v>
      </c>
      <c r="Q27" s="486">
        <v>2981172</v>
      </c>
      <c r="R27" s="485">
        <v>461231</v>
      </c>
      <c r="S27" s="486">
        <v>893256</v>
      </c>
      <c r="T27" s="485">
        <v>668792</v>
      </c>
      <c r="U27" s="486">
        <v>1112965</v>
      </c>
      <c r="V27" s="485">
        <v>626341</v>
      </c>
      <c r="W27" s="486">
        <v>990564</v>
      </c>
      <c r="X27" s="487">
        <v>382317</v>
      </c>
      <c r="Y27" s="486">
        <v>427299</v>
      </c>
      <c r="Z27" s="485">
        <v>275002</v>
      </c>
      <c r="AA27" s="486">
        <v>84762</v>
      </c>
      <c r="AB27" s="485">
        <v>539763</v>
      </c>
      <c r="AC27" s="486">
        <v>758994</v>
      </c>
      <c r="AD27" s="485">
        <v>86271</v>
      </c>
      <c r="AE27" s="486">
        <v>75533</v>
      </c>
      <c r="AF27" s="485">
        <v>434118</v>
      </c>
      <c r="AG27" s="486">
        <v>963100</v>
      </c>
      <c r="AH27" s="485">
        <v>85119</v>
      </c>
      <c r="AI27" s="486">
        <v>75075</v>
      </c>
      <c r="AJ27" s="485">
        <v>4190387</v>
      </c>
      <c r="AK27" s="486">
        <v>2674202</v>
      </c>
      <c r="AL27" s="486">
        <v>72877</v>
      </c>
      <c r="AM27" s="485">
        <v>273279</v>
      </c>
      <c r="AN27" s="485">
        <v>1175178</v>
      </c>
      <c r="AO27" s="486">
        <v>897984</v>
      </c>
      <c r="AP27" s="486">
        <v>505232</v>
      </c>
      <c r="AQ27" s="486">
        <v>847706</v>
      </c>
      <c r="AR27" s="485">
        <v>347365</v>
      </c>
      <c r="AS27" s="989">
        <v>192506</v>
      </c>
      <c r="AT27" s="484">
        <v>1949309</v>
      </c>
      <c r="AU27" s="486">
        <v>1882150</v>
      </c>
      <c r="AV27" s="497">
        <f t="shared" si="0"/>
        <v>23195943</v>
      </c>
      <c r="AW27" s="977">
        <f t="shared" si="1"/>
        <v>28392614</v>
      </c>
      <c r="AX27" s="484">
        <v>12</v>
      </c>
      <c r="AY27" s="486">
        <v>1969</v>
      </c>
      <c r="AZ27" s="497">
        <f t="shared" si="2"/>
        <v>23195955</v>
      </c>
      <c r="BA27" s="498">
        <f t="shared" si="3"/>
        <v>28394583</v>
      </c>
    </row>
    <row r="28" spans="1:53" ht="14.25">
      <c r="A28" s="293" t="s">
        <v>95</v>
      </c>
      <c r="B28" s="228">
        <v>1399994</v>
      </c>
      <c r="C28" s="330">
        <v>1228193</v>
      </c>
      <c r="D28" s="19">
        <v>-1043907</v>
      </c>
      <c r="E28" s="23">
        <v>-624798</v>
      </c>
      <c r="F28" s="19">
        <v>87215</v>
      </c>
      <c r="G28" s="23">
        <v>-369981</v>
      </c>
      <c r="H28" s="19">
        <v>9828470</v>
      </c>
      <c r="I28" s="23">
        <v>9453687</v>
      </c>
      <c r="J28" s="19">
        <v>-1114801</v>
      </c>
      <c r="K28" s="23">
        <f>K33</f>
        <v>-1208602</v>
      </c>
      <c r="L28" s="19">
        <v>1260043</v>
      </c>
      <c r="M28" s="23">
        <v>1112668</v>
      </c>
      <c r="N28" s="19">
        <v>583572</v>
      </c>
      <c r="O28" s="23">
        <v>704206</v>
      </c>
      <c r="P28" s="19">
        <v>-1547795</v>
      </c>
      <c r="Q28" s="23">
        <v>-2158310</v>
      </c>
      <c r="R28" s="19">
        <v>887643</v>
      </c>
      <c r="S28" s="23">
        <v>1125078</v>
      </c>
      <c r="T28" s="19">
        <v>-356820</v>
      </c>
      <c r="U28" s="23">
        <v>-870138</v>
      </c>
      <c r="V28" s="19">
        <v>8349961</v>
      </c>
      <c r="W28" s="23">
        <v>9141433</v>
      </c>
      <c r="X28" s="22">
        <v>17713519</v>
      </c>
      <c r="Y28" s="23">
        <v>17844229</v>
      </c>
      <c r="Z28" s="24">
        <v>152819</v>
      </c>
      <c r="AA28" s="25">
        <v>520624</v>
      </c>
      <c r="AB28" s="19">
        <v>77270</v>
      </c>
      <c r="AC28" s="23">
        <v>351665</v>
      </c>
      <c r="AD28" s="19">
        <v>1660534</v>
      </c>
      <c r="AE28" s="23">
        <v>3206262</v>
      </c>
      <c r="AF28" s="19">
        <v>5109439</v>
      </c>
      <c r="AG28" s="23">
        <v>7682171</v>
      </c>
      <c r="AH28" s="19">
        <v>536260</v>
      </c>
      <c r="AI28" s="23">
        <v>638710</v>
      </c>
      <c r="AJ28" s="19">
        <v>-1972780</v>
      </c>
      <c r="AK28" s="23">
        <v>-611261</v>
      </c>
      <c r="AL28" s="23">
        <v>65501</v>
      </c>
      <c r="AM28" s="19">
        <v>13868</v>
      </c>
      <c r="AN28" s="298">
        <v>8737807</v>
      </c>
      <c r="AO28" s="302">
        <v>9745695</v>
      </c>
      <c r="AP28" s="26">
        <v>231523</v>
      </c>
      <c r="AQ28" s="27">
        <v>160972</v>
      </c>
      <c r="AR28" s="28">
        <v>226727</v>
      </c>
      <c r="AS28" s="987">
        <v>548292</v>
      </c>
      <c r="AT28" s="981">
        <v>701124</v>
      </c>
      <c r="AU28" s="23">
        <v>1449952</v>
      </c>
      <c r="AV28" s="497">
        <f t="shared" si="0"/>
        <v>51573318</v>
      </c>
      <c r="AW28" s="977">
        <f t="shared" si="1"/>
        <v>59084615</v>
      </c>
      <c r="AX28" s="229">
        <v>25288630</v>
      </c>
      <c r="AY28" s="29">
        <v>22483627</v>
      </c>
      <c r="AZ28" s="497">
        <f t="shared" si="2"/>
        <v>76861948</v>
      </c>
      <c r="BA28" s="498">
        <f t="shared" si="3"/>
        <v>81568242</v>
      </c>
    </row>
    <row r="29" spans="1:53" ht="14.25">
      <c r="A29" s="293" t="s">
        <v>96</v>
      </c>
      <c r="B29" s="228"/>
      <c r="C29" s="330"/>
      <c r="D29" s="19"/>
      <c r="E29" s="23"/>
      <c r="F29" s="19"/>
      <c r="G29" s="23"/>
      <c r="H29" s="19"/>
      <c r="I29" s="23"/>
      <c r="J29" s="19"/>
      <c r="K29" s="23"/>
      <c r="L29" s="19"/>
      <c r="M29" s="23"/>
      <c r="N29" s="19"/>
      <c r="O29" s="23"/>
      <c r="P29" s="19"/>
      <c r="Q29" s="23"/>
      <c r="R29" s="19"/>
      <c r="S29" s="23"/>
      <c r="T29" s="19"/>
      <c r="U29" s="23"/>
      <c r="V29" s="19">
        <v>165928</v>
      </c>
      <c r="W29" s="23">
        <v>220097</v>
      </c>
      <c r="X29" s="22"/>
      <c r="Y29" s="23"/>
      <c r="Z29" s="24"/>
      <c r="AA29" s="25"/>
      <c r="AB29" s="19"/>
      <c r="AC29" s="23"/>
      <c r="AD29" s="19">
        <v>153065</v>
      </c>
      <c r="AE29" s="23">
        <v>173533</v>
      </c>
      <c r="AF29" s="19">
        <v>718335</v>
      </c>
      <c r="AG29" s="23">
        <v>1082900</v>
      </c>
      <c r="AH29" s="19"/>
      <c r="AI29" s="23"/>
      <c r="AJ29" s="19"/>
      <c r="AK29" s="23"/>
      <c r="AL29" s="23">
        <v>1462</v>
      </c>
      <c r="AM29" s="19"/>
      <c r="AN29" s="297">
        <v>127467</v>
      </c>
      <c r="AO29" s="301">
        <v>199164</v>
      </c>
      <c r="AP29" s="26">
        <v>43105</v>
      </c>
      <c r="AQ29" s="27">
        <v>-7069</v>
      </c>
      <c r="AR29" s="28">
        <v>483</v>
      </c>
      <c r="AS29" s="987"/>
      <c r="AT29" s="981">
        <v>64859</v>
      </c>
      <c r="AU29" s="23">
        <v>315202</v>
      </c>
      <c r="AV29" s="497">
        <f t="shared" si="0"/>
        <v>1274704</v>
      </c>
      <c r="AW29" s="977">
        <f t="shared" si="1"/>
        <v>1983827</v>
      </c>
      <c r="AX29" s="229">
        <v>110151</v>
      </c>
      <c r="AY29" s="29">
        <v>166219</v>
      </c>
      <c r="AZ29" s="497">
        <f t="shared" si="2"/>
        <v>1384855</v>
      </c>
      <c r="BA29" s="498">
        <f t="shared" si="3"/>
        <v>2150046</v>
      </c>
    </row>
    <row r="30" spans="1:53" ht="14.25">
      <c r="A30" s="293" t="s">
        <v>97</v>
      </c>
      <c r="B30" s="228"/>
      <c r="C30" s="330"/>
      <c r="D30" s="19"/>
      <c r="E30" s="23"/>
      <c r="F30" s="19"/>
      <c r="G30" s="23"/>
      <c r="H30" s="19"/>
      <c r="I30" s="23"/>
      <c r="J30" s="19"/>
      <c r="K30" s="23"/>
      <c r="L30" s="19"/>
      <c r="M30" s="23"/>
      <c r="N30" s="19">
        <v>-75135</v>
      </c>
      <c r="O30" s="23">
        <v>-90667</v>
      </c>
      <c r="P30" s="19"/>
      <c r="Q30" s="23"/>
      <c r="R30" s="19"/>
      <c r="S30" s="23">
        <v>64458</v>
      </c>
      <c r="T30" s="19"/>
      <c r="U30" s="23"/>
      <c r="V30" s="19"/>
      <c r="W30" s="23"/>
      <c r="X30" s="22">
        <v>58</v>
      </c>
      <c r="Y30" s="23">
        <v>97</v>
      </c>
      <c r="Z30" s="24"/>
      <c r="AA30" s="25"/>
      <c r="AB30" s="19"/>
      <c r="AC30" s="23"/>
      <c r="AD30" s="19"/>
      <c r="AE30" s="23"/>
      <c r="AF30" s="19"/>
      <c r="AG30" s="23"/>
      <c r="AH30" s="19"/>
      <c r="AI30" s="23"/>
      <c r="AJ30" s="19"/>
      <c r="AK30" s="23"/>
      <c r="AL30" s="23"/>
      <c r="AM30" s="19"/>
      <c r="AN30" s="297"/>
      <c r="AO30" s="301"/>
      <c r="AP30" s="26"/>
      <c r="AQ30" s="27"/>
      <c r="AR30" s="28"/>
      <c r="AS30" s="987"/>
      <c r="AT30" s="981"/>
      <c r="AU30" s="23"/>
      <c r="AV30" s="497">
        <f t="shared" si="0"/>
        <v>-75077</v>
      </c>
      <c r="AW30" s="977">
        <f t="shared" si="1"/>
        <v>-26112</v>
      </c>
      <c r="AX30" s="229">
        <v>25178479</v>
      </c>
      <c r="AY30" s="29">
        <v>22317408</v>
      </c>
      <c r="AZ30" s="497">
        <f t="shared" si="2"/>
        <v>25103402</v>
      </c>
      <c r="BA30" s="498">
        <f t="shared" si="3"/>
        <v>22291296</v>
      </c>
    </row>
    <row r="31" spans="1:53" ht="14.25">
      <c r="A31" s="293" t="s">
        <v>312</v>
      </c>
      <c r="B31" s="228"/>
      <c r="C31" s="330"/>
      <c r="D31" s="19"/>
      <c r="E31" s="23"/>
      <c r="F31" s="19"/>
      <c r="G31" s="23"/>
      <c r="H31" s="19">
        <v>1038774</v>
      </c>
      <c r="I31" s="23">
        <v>1091128</v>
      </c>
      <c r="J31" s="19"/>
      <c r="K31" s="23"/>
      <c r="L31" s="19"/>
      <c r="M31" s="23"/>
      <c r="N31" s="19"/>
      <c r="O31" s="23"/>
      <c r="P31" s="19"/>
      <c r="Q31" s="23"/>
      <c r="R31" s="19"/>
      <c r="S31" s="23"/>
      <c r="T31" s="19"/>
      <c r="U31" s="23"/>
      <c r="V31" s="19"/>
      <c r="W31" s="23"/>
      <c r="X31" s="22">
        <v>-1212122</v>
      </c>
      <c r="Y31" s="23">
        <v>-1027714</v>
      </c>
      <c r="Z31" s="24"/>
      <c r="AA31" s="25"/>
      <c r="AB31" s="19"/>
      <c r="AC31" s="23"/>
      <c r="AD31" s="19"/>
      <c r="AE31" s="23"/>
      <c r="AF31" s="19"/>
      <c r="AG31" s="23"/>
      <c r="AH31" s="19"/>
      <c r="AI31" s="23"/>
      <c r="AJ31" s="19"/>
      <c r="AK31" s="23"/>
      <c r="AL31" s="23"/>
      <c r="AM31" s="19"/>
      <c r="AN31" s="297"/>
      <c r="AO31" s="301"/>
      <c r="AP31" s="26"/>
      <c r="AQ31" s="27"/>
      <c r="AR31" s="28"/>
      <c r="AS31" s="987"/>
      <c r="AT31" s="981"/>
      <c r="AU31" s="23"/>
      <c r="AV31" s="497">
        <f t="shared" si="0"/>
        <v>-173348</v>
      </c>
      <c r="AW31" s="977">
        <f t="shared" si="1"/>
        <v>63414</v>
      </c>
      <c r="AX31" s="229"/>
      <c r="AY31" s="29"/>
      <c r="AZ31" s="497">
        <f t="shared" si="2"/>
        <v>-173348</v>
      </c>
      <c r="BA31" s="498">
        <f t="shared" si="3"/>
        <v>63414</v>
      </c>
    </row>
    <row r="32" spans="1:53" ht="14.25">
      <c r="A32" s="293" t="s">
        <v>98</v>
      </c>
      <c r="B32" s="228"/>
      <c r="C32" s="330"/>
      <c r="D32" s="19"/>
      <c r="E32" s="23"/>
      <c r="F32" s="19"/>
      <c r="G32" s="23"/>
      <c r="H32" s="19"/>
      <c r="I32" s="23"/>
      <c r="J32" s="19"/>
      <c r="K32" s="23"/>
      <c r="L32" s="19"/>
      <c r="M32" s="23"/>
      <c r="N32" s="19"/>
      <c r="O32" s="23"/>
      <c r="P32" s="19"/>
      <c r="Q32" s="23"/>
      <c r="R32" s="19"/>
      <c r="S32" s="23"/>
      <c r="T32" s="19"/>
      <c r="U32" s="23"/>
      <c r="V32" s="19"/>
      <c r="W32" s="23"/>
      <c r="X32" s="22"/>
      <c r="Y32" s="23"/>
      <c r="Z32" s="24"/>
      <c r="AA32" s="25"/>
      <c r="AB32" s="19"/>
      <c r="AC32" s="23"/>
      <c r="AD32" s="19"/>
      <c r="AE32" s="23"/>
      <c r="AF32" s="19"/>
      <c r="AG32" s="23"/>
      <c r="AH32" s="19"/>
      <c r="AI32" s="23"/>
      <c r="AJ32" s="19"/>
      <c r="AK32" s="23"/>
      <c r="AL32" s="23"/>
      <c r="AM32" s="19"/>
      <c r="AN32" s="298"/>
      <c r="AO32" s="302"/>
      <c r="AP32" s="26"/>
      <c r="AQ32" s="27"/>
      <c r="AR32" s="28"/>
      <c r="AS32" s="987"/>
      <c r="AT32" s="981"/>
      <c r="AU32" s="23"/>
      <c r="AV32" s="497">
        <f t="shared" si="0"/>
        <v>0</v>
      </c>
      <c r="AW32" s="977">
        <f t="shared" si="1"/>
        <v>0</v>
      </c>
      <c r="AX32" s="229"/>
      <c r="AY32" s="29"/>
      <c r="AZ32" s="497">
        <f t="shared" si="2"/>
        <v>0</v>
      </c>
      <c r="BA32" s="498">
        <f t="shared" si="3"/>
        <v>0</v>
      </c>
    </row>
    <row r="33" spans="1:53" ht="14.25">
      <c r="A33" s="293" t="s">
        <v>99</v>
      </c>
      <c r="B33" s="228">
        <v>1399994</v>
      </c>
      <c r="C33" s="330">
        <v>1228193</v>
      </c>
      <c r="D33" s="19">
        <v>-1043907</v>
      </c>
      <c r="E33" s="23">
        <v>-624798</v>
      </c>
      <c r="F33" s="19">
        <f>F28</f>
        <v>87215</v>
      </c>
      <c r="G33" s="23">
        <f>G28</f>
        <v>-369981</v>
      </c>
      <c r="H33" s="19">
        <v>8789696</v>
      </c>
      <c r="I33" s="23">
        <v>8362559</v>
      </c>
      <c r="J33" s="22">
        <f>J28</f>
        <v>-1114801</v>
      </c>
      <c r="K33" s="334">
        <v>-1208602</v>
      </c>
      <c r="L33" s="19">
        <f>L28</f>
        <v>1260043</v>
      </c>
      <c r="M33" s="19">
        <v>1112668</v>
      </c>
      <c r="N33" s="19">
        <v>508437</v>
      </c>
      <c r="O33" s="23">
        <v>613540</v>
      </c>
      <c r="P33" s="19">
        <f>P28</f>
        <v>-1547795</v>
      </c>
      <c r="Q33" s="23">
        <f>Q28</f>
        <v>-2158310</v>
      </c>
      <c r="R33" s="19">
        <f>R28</f>
        <v>887643</v>
      </c>
      <c r="S33" s="19">
        <v>1189536</v>
      </c>
      <c r="T33" s="19">
        <f>T28</f>
        <v>-356820</v>
      </c>
      <c r="U33" s="23">
        <f>U28</f>
        <v>-870138</v>
      </c>
      <c r="V33" s="19">
        <v>8184033</v>
      </c>
      <c r="W33" s="23">
        <v>8921336</v>
      </c>
      <c r="X33" s="22">
        <v>16501455</v>
      </c>
      <c r="Y33" s="23">
        <v>16816612</v>
      </c>
      <c r="Z33" s="24">
        <f>Z28</f>
        <v>152819</v>
      </c>
      <c r="AA33" s="24">
        <f>AA28</f>
        <v>520624</v>
      </c>
      <c r="AB33" s="19">
        <f>AB28</f>
        <v>77270</v>
      </c>
      <c r="AC33" s="19">
        <f>AC28</f>
        <v>351665</v>
      </c>
      <c r="AD33" s="19">
        <v>2507469</v>
      </c>
      <c r="AE33" s="23">
        <v>3032729</v>
      </c>
      <c r="AF33" s="19">
        <v>4391104</v>
      </c>
      <c r="AG33" s="23">
        <v>6599271</v>
      </c>
      <c r="AH33" s="19">
        <v>536260</v>
      </c>
      <c r="AI33" s="23">
        <v>638710</v>
      </c>
      <c r="AJ33" s="19">
        <f>AJ28</f>
        <v>-1972780</v>
      </c>
      <c r="AK33" s="19">
        <f>AK28</f>
        <v>-611261</v>
      </c>
      <c r="AL33" s="23">
        <v>64039</v>
      </c>
      <c r="AM33" s="19">
        <v>13868</v>
      </c>
      <c r="AN33" s="298">
        <v>8610341</v>
      </c>
      <c r="AO33" s="302">
        <v>9546531</v>
      </c>
      <c r="AP33" s="26">
        <v>188417</v>
      </c>
      <c r="AQ33" s="27">
        <v>168041</v>
      </c>
      <c r="AR33" s="229">
        <v>226244</v>
      </c>
      <c r="AS33" s="990">
        <v>548292</v>
      </c>
      <c r="AT33" s="981">
        <v>636265</v>
      </c>
      <c r="AU33" s="23">
        <v>1134750</v>
      </c>
      <c r="AV33" s="497">
        <f t="shared" si="0"/>
        <v>48972641</v>
      </c>
      <c r="AW33" s="977">
        <f t="shared" si="1"/>
        <v>54955835</v>
      </c>
      <c r="AX33" s="229"/>
      <c r="AY33" s="29"/>
      <c r="AZ33" s="497">
        <f t="shared" si="2"/>
        <v>48972641</v>
      </c>
      <c r="BA33" s="498">
        <f t="shared" si="3"/>
        <v>54955835</v>
      </c>
    </row>
    <row r="34" spans="1:53" ht="14.25">
      <c r="A34" s="294" t="s">
        <v>100</v>
      </c>
      <c r="B34" s="227"/>
      <c r="C34" s="329"/>
      <c r="D34" s="34"/>
      <c r="E34" s="38"/>
      <c r="F34" s="34"/>
      <c r="G34" s="38"/>
      <c r="H34" s="34"/>
      <c r="I34" s="38"/>
      <c r="J34" s="34"/>
      <c r="K34" s="38"/>
      <c r="L34" s="34"/>
      <c r="M34" s="38"/>
      <c r="N34" s="34"/>
      <c r="O34" s="38"/>
      <c r="P34" s="309"/>
      <c r="Q34" s="38"/>
      <c r="R34" s="34"/>
      <c r="S34" s="38"/>
      <c r="T34" s="34"/>
      <c r="U34" s="38"/>
      <c r="V34" s="34"/>
      <c r="W34" s="38"/>
      <c r="X34" s="37"/>
      <c r="Y34" s="38"/>
      <c r="Z34" s="24"/>
      <c r="AA34" s="25"/>
      <c r="AB34" s="34"/>
      <c r="AC34" s="38"/>
      <c r="AD34" s="39"/>
      <c r="AE34" s="40"/>
      <c r="AF34" s="34"/>
      <c r="AG34" s="38"/>
      <c r="AH34" s="34"/>
      <c r="AI34" s="38"/>
      <c r="AJ34" s="34"/>
      <c r="AK34" s="38"/>
      <c r="AL34" s="23"/>
      <c r="AM34" s="19"/>
      <c r="AN34" s="297"/>
      <c r="AO34" s="301"/>
      <c r="AP34" s="26"/>
      <c r="AQ34" s="27"/>
      <c r="AR34" s="28"/>
      <c r="AS34" s="987"/>
      <c r="AT34" s="35"/>
      <c r="AU34" s="38"/>
      <c r="AV34" s="497">
        <f t="shared" si="0"/>
        <v>0</v>
      </c>
      <c r="AW34" s="977">
        <f t="shared" si="1"/>
        <v>0</v>
      </c>
      <c r="AX34" s="35"/>
      <c r="AY34" s="38"/>
      <c r="AZ34" s="497">
        <f t="shared" si="2"/>
        <v>0</v>
      </c>
      <c r="BA34" s="498">
        <f t="shared" si="3"/>
        <v>0</v>
      </c>
    </row>
    <row r="35" spans="1:53" ht="28.5">
      <c r="A35" s="293" t="s">
        <v>101</v>
      </c>
      <c r="B35" s="228">
        <f>B42</f>
        <v>-5282327</v>
      </c>
      <c r="C35" s="330">
        <v>-5282327</v>
      </c>
      <c r="D35" s="19">
        <v>-1845118</v>
      </c>
      <c r="E35" s="23">
        <v>-2889025</v>
      </c>
      <c r="F35" s="19">
        <v>-12802478</v>
      </c>
      <c r="G35" s="23">
        <v>-12615263</v>
      </c>
      <c r="H35" s="19">
        <v>55333408</v>
      </c>
      <c r="I35" s="23">
        <v>64123104</v>
      </c>
      <c r="J35" s="19">
        <v>-21478983</v>
      </c>
      <c r="K35" s="23">
        <v>-22593784</v>
      </c>
      <c r="L35" s="19">
        <v>-5648917</v>
      </c>
      <c r="M35" s="23">
        <v>-4388874</v>
      </c>
      <c r="N35" s="19">
        <v>-4662381</v>
      </c>
      <c r="O35" s="23">
        <v>-4152944</v>
      </c>
      <c r="P35" s="34">
        <v>-2342102</v>
      </c>
      <c r="Q35" s="23">
        <v>-3889897</v>
      </c>
      <c r="R35" s="19">
        <v>-10087839</v>
      </c>
      <c r="S35" s="23">
        <v>-9200196</v>
      </c>
      <c r="T35" s="19">
        <v>-12022149</v>
      </c>
      <c r="U35" s="23">
        <v>-12378969</v>
      </c>
      <c r="V35" s="19">
        <v>3835258</v>
      </c>
      <c r="W35" s="23">
        <v>9858344</v>
      </c>
      <c r="X35" s="22">
        <v>470736</v>
      </c>
      <c r="Y35" s="23">
        <v>2493309</v>
      </c>
      <c r="Z35" s="28">
        <v>-1884375</v>
      </c>
      <c r="AA35" s="29">
        <v>-1731556</v>
      </c>
      <c r="AB35" s="19">
        <v>-2475376</v>
      </c>
      <c r="AC35" s="23">
        <v>-2398105</v>
      </c>
      <c r="AD35" s="19">
        <v>7083701</v>
      </c>
      <c r="AE35" s="23">
        <v>9591170</v>
      </c>
      <c r="AF35" s="19">
        <v>12731</v>
      </c>
      <c r="AG35" s="23">
        <v>14089</v>
      </c>
      <c r="AH35" s="19">
        <v>1034982</v>
      </c>
      <c r="AI35" s="23">
        <v>1571242</v>
      </c>
      <c r="AJ35" s="19">
        <v>-18948671</v>
      </c>
      <c r="AK35" s="23">
        <v>-1972780</v>
      </c>
      <c r="AL35" s="23">
        <v>1121903</v>
      </c>
      <c r="AM35" s="19">
        <v>1185942</v>
      </c>
      <c r="AN35" s="298">
        <v>29740598</v>
      </c>
      <c r="AO35" s="302">
        <v>36906647</v>
      </c>
      <c r="AP35" s="26">
        <v>3080378</v>
      </c>
      <c r="AQ35" s="27">
        <v>3267603</v>
      </c>
      <c r="AR35" s="28">
        <v>1760117</v>
      </c>
      <c r="AS35" s="987">
        <v>1533873</v>
      </c>
      <c r="AT35" s="981">
        <v>2896470</v>
      </c>
      <c r="AU35" s="23">
        <v>-2260205</v>
      </c>
      <c r="AV35" s="497">
        <f t="shared" si="0"/>
        <v>6889566</v>
      </c>
      <c r="AW35" s="977">
        <f t="shared" si="1"/>
        <v>44791398</v>
      </c>
      <c r="AX35" s="981"/>
      <c r="AY35" s="23"/>
      <c r="AZ35" s="497">
        <f t="shared" si="2"/>
        <v>6889566</v>
      </c>
      <c r="BA35" s="498">
        <f t="shared" si="3"/>
        <v>44791398</v>
      </c>
    </row>
    <row r="36" spans="1:53" ht="28.5">
      <c r="A36" s="293" t="s">
        <v>102</v>
      </c>
      <c r="B36" s="228"/>
      <c r="C36" s="330"/>
      <c r="D36" s="19"/>
      <c r="E36" s="23"/>
      <c r="F36" s="19"/>
      <c r="G36" s="23"/>
      <c r="H36" s="19"/>
      <c r="I36" s="23"/>
      <c r="J36" s="19"/>
      <c r="K36" s="23"/>
      <c r="L36" s="19"/>
      <c r="M36" s="23"/>
      <c r="N36" s="19"/>
      <c r="O36" s="23"/>
      <c r="P36" s="19"/>
      <c r="Q36" s="23"/>
      <c r="R36" s="19"/>
      <c r="S36" s="23"/>
      <c r="T36" s="19"/>
      <c r="U36" s="23"/>
      <c r="V36" s="19">
        <v>-1795403</v>
      </c>
      <c r="W36" s="23">
        <v>-2197413</v>
      </c>
      <c r="X36" s="22">
        <v>9022041</v>
      </c>
      <c r="Y36" s="23">
        <v>5521572</v>
      </c>
      <c r="Z36" s="28"/>
      <c r="AA36" s="29"/>
      <c r="AB36" s="19"/>
      <c r="AC36" s="23"/>
      <c r="AD36" s="19"/>
      <c r="AE36" s="23"/>
      <c r="AF36" s="19"/>
      <c r="AG36" s="23"/>
      <c r="AH36" s="19"/>
      <c r="AI36" s="23"/>
      <c r="AJ36" s="19"/>
      <c r="AK36" s="23"/>
      <c r="AL36" s="23"/>
      <c r="AM36" s="19"/>
      <c r="AN36" s="299">
        <v>1200000</v>
      </c>
      <c r="AO36" s="303">
        <v>1500000</v>
      </c>
      <c r="AP36" s="26"/>
      <c r="AQ36" s="27"/>
      <c r="AR36" s="28"/>
      <c r="AS36" s="987"/>
      <c r="AT36" s="981"/>
      <c r="AU36" s="23"/>
      <c r="AV36" s="497">
        <f t="shared" si="0"/>
        <v>8426638</v>
      </c>
      <c r="AW36" s="977">
        <f t="shared" si="1"/>
        <v>4824159</v>
      </c>
      <c r="AX36" s="981"/>
      <c r="AY36" s="23"/>
      <c r="AZ36" s="497">
        <f t="shared" si="2"/>
        <v>8426638</v>
      </c>
      <c r="BA36" s="498">
        <f t="shared" si="3"/>
        <v>4824159</v>
      </c>
    </row>
    <row r="37" spans="1:53" ht="28.5">
      <c r="A37" s="295" t="s">
        <v>103</v>
      </c>
      <c r="B37" s="228"/>
      <c r="C37" s="330"/>
      <c r="D37" s="19"/>
      <c r="E37" s="23"/>
      <c r="F37" s="19"/>
      <c r="G37" s="23"/>
      <c r="H37" s="19"/>
      <c r="I37" s="23"/>
      <c r="J37" s="19"/>
      <c r="K37" s="23"/>
      <c r="L37" s="19"/>
      <c r="M37" s="23"/>
      <c r="N37" s="19"/>
      <c r="O37" s="23"/>
      <c r="P37" s="19"/>
      <c r="Q37" s="23"/>
      <c r="R37" s="19"/>
      <c r="S37" s="23"/>
      <c r="T37" s="19"/>
      <c r="U37" s="23"/>
      <c r="V37" s="19"/>
      <c r="W37" s="23"/>
      <c r="X37" s="22">
        <f>17+3007883</f>
        <v>3007900</v>
      </c>
      <c r="Y37" s="23">
        <v>1142</v>
      </c>
      <c r="Z37" s="28"/>
      <c r="AA37" s="29"/>
      <c r="AB37" s="19"/>
      <c r="AC37" s="23"/>
      <c r="AD37" s="19"/>
      <c r="AE37" s="23"/>
      <c r="AF37" s="19">
        <v>1822872</v>
      </c>
      <c r="AG37" s="23">
        <v>1400733</v>
      </c>
      <c r="AH37" s="19"/>
      <c r="AI37" s="23"/>
      <c r="AJ37" s="19"/>
      <c r="AK37" s="23"/>
      <c r="AL37" s="23"/>
      <c r="AM37" s="19"/>
      <c r="AN37" s="299"/>
      <c r="AO37" s="303"/>
      <c r="AP37" s="26"/>
      <c r="AQ37" s="27"/>
      <c r="AR37" s="28"/>
      <c r="AS37" s="987"/>
      <c r="AT37" s="981"/>
      <c r="AU37" s="23"/>
      <c r="AV37" s="497">
        <f t="shared" si="0"/>
        <v>4830772</v>
      </c>
      <c r="AW37" s="977">
        <f t="shared" si="1"/>
        <v>1401875</v>
      </c>
      <c r="AX37" s="981">
        <v>24970348</v>
      </c>
      <c r="AY37" s="23">
        <v>22003336</v>
      </c>
      <c r="AZ37" s="497">
        <f t="shared" si="2"/>
        <v>29801120</v>
      </c>
      <c r="BA37" s="498">
        <f t="shared" si="3"/>
        <v>23405211</v>
      </c>
    </row>
    <row r="38" spans="1:53" ht="14.25">
      <c r="A38" s="293" t="s">
        <v>104</v>
      </c>
      <c r="B38" s="228"/>
      <c r="C38" s="330"/>
      <c r="D38" s="19"/>
      <c r="E38" s="23"/>
      <c r="F38" s="19"/>
      <c r="G38" s="23"/>
      <c r="H38" s="19"/>
      <c r="I38" s="23"/>
      <c r="J38" s="19"/>
      <c r="K38" s="23"/>
      <c r="L38" s="19"/>
      <c r="M38" s="23"/>
      <c r="N38" s="19"/>
      <c r="O38" s="23"/>
      <c r="P38" s="19"/>
      <c r="Q38" s="23"/>
      <c r="R38" s="19"/>
      <c r="S38" s="23"/>
      <c r="T38" s="19"/>
      <c r="U38" s="23"/>
      <c r="V38" s="19">
        <v>-365544</v>
      </c>
      <c r="W38" s="23">
        <v>-447349</v>
      </c>
      <c r="X38" s="22">
        <v>2448941</v>
      </c>
      <c r="Y38" s="23">
        <v>1124291</v>
      </c>
      <c r="Z38" s="28"/>
      <c r="AA38" s="29"/>
      <c r="AB38" s="19"/>
      <c r="AC38" s="23"/>
      <c r="AD38" s="19"/>
      <c r="AE38" s="23"/>
      <c r="AF38" s="19">
        <v>744002</v>
      </c>
      <c r="AG38" s="23">
        <v>285156</v>
      </c>
      <c r="AH38" s="19"/>
      <c r="AI38" s="23"/>
      <c r="AJ38" s="19"/>
      <c r="AK38" s="23"/>
      <c r="AL38" s="23"/>
      <c r="AM38" s="19"/>
      <c r="AN38" s="299">
        <v>244292</v>
      </c>
      <c r="AO38" s="303">
        <v>305365</v>
      </c>
      <c r="AP38" s="26"/>
      <c r="AQ38" s="27"/>
      <c r="AR38" s="28"/>
      <c r="AS38" s="987"/>
      <c r="AT38" s="981"/>
      <c r="AU38" s="23"/>
      <c r="AV38" s="497">
        <f t="shared" si="0"/>
        <v>3071691</v>
      </c>
      <c r="AW38" s="977">
        <f t="shared" si="1"/>
        <v>1267463</v>
      </c>
      <c r="AX38" s="981"/>
      <c r="AY38" s="23"/>
      <c r="AZ38" s="497">
        <f t="shared" si="2"/>
        <v>3071691</v>
      </c>
      <c r="BA38" s="498">
        <f t="shared" si="3"/>
        <v>1267463</v>
      </c>
    </row>
    <row r="39" spans="1:53" ht="28.5">
      <c r="A39" s="293" t="s">
        <v>105</v>
      </c>
      <c r="B39" s="227"/>
      <c r="C39" s="329"/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39"/>
      <c r="Q39" s="40"/>
      <c r="R39" s="39"/>
      <c r="S39" s="40"/>
      <c r="T39" s="39"/>
      <c r="U39" s="40"/>
      <c r="V39" s="39"/>
      <c r="W39" s="40"/>
      <c r="X39" s="37"/>
      <c r="Y39" s="40"/>
      <c r="Z39" s="230"/>
      <c r="AA39" s="239"/>
      <c r="AB39" s="39"/>
      <c r="AC39" s="40"/>
      <c r="AD39" s="39"/>
      <c r="AE39" s="40"/>
      <c r="AF39" s="39"/>
      <c r="AG39" s="40"/>
      <c r="AH39" s="39"/>
      <c r="AI39" s="40"/>
      <c r="AJ39" s="39"/>
      <c r="AK39" s="40"/>
      <c r="AL39" s="338"/>
      <c r="AM39" s="231"/>
      <c r="AN39" s="299"/>
      <c r="AO39" s="303"/>
      <c r="AP39" s="232">
        <v>3407</v>
      </c>
      <c r="AQ39" s="307"/>
      <c r="AR39" s="233"/>
      <c r="AS39" s="991"/>
      <c r="AT39" s="982"/>
      <c r="AU39" s="40"/>
      <c r="AV39" s="497">
        <f t="shared" si="0"/>
        <v>3407</v>
      </c>
      <c r="AW39" s="977">
        <f t="shared" si="1"/>
        <v>0</v>
      </c>
      <c r="AX39" s="982">
        <v>208131</v>
      </c>
      <c r="AY39" s="40">
        <v>314072</v>
      </c>
      <c r="AZ39" s="497">
        <f t="shared" si="2"/>
        <v>211538</v>
      </c>
      <c r="BA39" s="498">
        <f t="shared" si="3"/>
        <v>314072</v>
      </c>
    </row>
    <row r="40" spans="1:53" ht="28.5">
      <c r="A40" s="636" t="s">
        <v>240</v>
      </c>
      <c r="B40" s="637"/>
      <c r="C40" s="638"/>
      <c r="D40" s="640"/>
      <c r="E40" s="641"/>
      <c r="F40" s="640"/>
      <c r="G40" s="641"/>
      <c r="H40" s="640"/>
      <c r="I40" s="641"/>
      <c r="J40" s="640"/>
      <c r="K40" s="641"/>
      <c r="L40" s="640"/>
      <c r="M40" s="641"/>
      <c r="N40" s="640"/>
      <c r="O40" s="641"/>
      <c r="P40" s="640"/>
      <c r="Q40" s="641"/>
      <c r="R40" s="640"/>
      <c r="S40" s="641"/>
      <c r="T40" s="640"/>
      <c r="U40" s="641"/>
      <c r="V40" s="640"/>
      <c r="W40" s="641"/>
      <c r="X40" s="639"/>
      <c r="Y40" s="641"/>
      <c r="Z40" s="642"/>
      <c r="AA40" s="643"/>
      <c r="AB40" s="640"/>
      <c r="AC40" s="641"/>
      <c r="AD40" s="640"/>
      <c r="AE40" s="641"/>
      <c r="AF40" s="640"/>
      <c r="AG40" s="641"/>
      <c r="AH40" s="640"/>
      <c r="AI40" s="641"/>
      <c r="AJ40" s="640"/>
      <c r="AK40" s="641"/>
      <c r="AL40" s="645"/>
      <c r="AM40" s="644"/>
      <c r="AN40" s="646"/>
      <c r="AO40" s="647"/>
      <c r="AP40" s="648">
        <v>46</v>
      </c>
      <c r="AQ40" s="649">
        <v>11300</v>
      </c>
      <c r="AR40" s="650"/>
      <c r="AS40" s="992"/>
      <c r="AT40" s="983"/>
      <c r="AU40" s="641"/>
      <c r="AV40" s="497">
        <f t="shared" si="0"/>
        <v>46</v>
      </c>
      <c r="AW40" s="977">
        <f t="shared" si="1"/>
        <v>11300</v>
      </c>
      <c r="AX40" s="983"/>
      <c r="AY40" s="641"/>
      <c r="AZ40" s="497">
        <f t="shared" si="2"/>
        <v>46</v>
      </c>
      <c r="BA40" s="498">
        <f t="shared" si="3"/>
        <v>11300</v>
      </c>
    </row>
    <row r="41" spans="1:53" ht="14.25">
      <c r="A41" s="636" t="s">
        <v>314</v>
      </c>
      <c r="B41" s="637"/>
      <c r="C41" s="638"/>
      <c r="D41" s="640"/>
      <c r="E41" s="641"/>
      <c r="F41" s="640"/>
      <c r="G41" s="641"/>
      <c r="H41" s="640"/>
      <c r="I41" s="641"/>
      <c r="J41" s="640"/>
      <c r="K41" s="641"/>
      <c r="L41" s="640"/>
      <c r="M41" s="641"/>
      <c r="N41" s="640"/>
      <c r="O41" s="641"/>
      <c r="P41" s="640"/>
      <c r="Q41" s="641"/>
      <c r="R41" s="640"/>
      <c r="S41" s="641"/>
      <c r="T41" s="640"/>
      <c r="U41" s="641"/>
      <c r="V41" s="640"/>
      <c r="W41" s="641"/>
      <c r="X41" s="639"/>
      <c r="Y41" s="641"/>
      <c r="Z41" s="642"/>
      <c r="AA41" s="643"/>
      <c r="AB41" s="640"/>
      <c r="AC41" s="641"/>
      <c r="AD41" s="640"/>
      <c r="AE41" s="641"/>
      <c r="AF41" s="640"/>
      <c r="AG41" s="641"/>
      <c r="AH41" s="640"/>
      <c r="AI41" s="641"/>
      <c r="AJ41" s="640"/>
      <c r="AK41" s="641">
        <v>18948671</v>
      </c>
      <c r="AL41" s="645"/>
      <c r="AM41" s="644"/>
      <c r="AN41" s="646"/>
      <c r="AO41" s="647"/>
      <c r="AP41" s="648"/>
      <c r="AQ41" s="649"/>
      <c r="AR41" s="650"/>
      <c r="AS41" s="992"/>
      <c r="AT41" s="983"/>
      <c r="AU41" s="641"/>
      <c r="AV41" s="497">
        <f t="shared" si="0"/>
        <v>0</v>
      </c>
      <c r="AW41" s="977">
        <f t="shared" si="1"/>
        <v>18948671</v>
      </c>
      <c r="AX41" s="983"/>
      <c r="AY41" s="641"/>
      <c r="AZ41" s="497">
        <f t="shared" si="2"/>
        <v>0</v>
      </c>
      <c r="BA41" s="498">
        <f t="shared" si="3"/>
        <v>18948671</v>
      </c>
    </row>
    <row r="42" spans="1:53" s="482" customFormat="1" ht="27.75" thickBot="1">
      <c r="A42" s="478" t="s">
        <v>106</v>
      </c>
      <c r="B42" s="479">
        <v>-5282327</v>
      </c>
      <c r="C42" s="480">
        <v>-4054134</v>
      </c>
      <c r="D42" s="479">
        <v>-2889025</v>
      </c>
      <c r="E42" s="480">
        <v>-3513823</v>
      </c>
      <c r="F42" s="479">
        <v>-12615263</v>
      </c>
      <c r="G42" s="480">
        <v>-12985244</v>
      </c>
      <c r="H42" s="479">
        <v>64123104</v>
      </c>
      <c r="I42" s="480">
        <v>72485663</v>
      </c>
      <c r="J42" s="479">
        <v>-22593784</v>
      </c>
      <c r="K42" s="480">
        <v>-23802386</v>
      </c>
      <c r="L42" s="479">
        <v>-4388874</v>
      </c>
      <c r="M42" s="480">
        <v>-3276206</v>
      </c>
      <c r="N42" s="479">
        <v>-4152944</v>
      </c>
      <c r="O42" s="480">
        <v>-3539405</v>
      </c>
      <c r="P42" s="479">
        <v>-3889897</v>
      </c>
      <c r="Q42" s="480">
        <v>-6048207</v>
      </c>
      <c r="R42" s="479">
        <v>-9200196</v>
      </c>
      <c r="S42" s="480">
        <v>-8010659</v>
      </c>
      <c r="T42" s="479">
        <v>-12378969</v>
      </c>
      <c r="U42" s="480">
        <v>-13249107</v>
      </c>
      <c r="V42" s="479">
        <v>9858344</v>
      </c>
      <c r="W42" s="480">
        <v>16134918</v>
      </c>
      <c r="X42" s="481">
        <v>2493309</v>
      </c>
      <c r="Y42" s="480">
        <v>12662916</v>
      </c>
      <c r="Z42" s="479">
        <v>-1210932</v>
      </c>
      <c r="AA42" s="480">
        <v>-1731556</v>
      </c>
      <c r="AB42" s="479">
        <v>-2398105</v>
      </c>
      <c r="AC42" s="480">
        <v>-2046440</v>
      </c>
      <c r="AD42" s="479">
        <v>9591170</v>
      </c>
      <c r="AE42" s="480">
        <v>12623899</v>
      </c>
      <c r="AF42" s="479">
        <v>14089</v>
      </c>
      <c r="AG42" s="480">
        <v>4927471</v>
      </c>
      <c r="AH42" s="479">
        <v>1571242</v>
      </c>
      <c r="AI42" s="480">
        <v>2209952</v>
      </c>
      <c r="AJ42" s="479">
        <v>-2584041</v>
      </c>
      <c r="AK42" s="480">
        <v>-1972780</v>
      </c>
      <c r="AL42" s="480">
        <v>1185942</v>
      </c>
      <c r="AM42" s="479">
        <v>1199810</v>
      </c>
      <c r="AN42" s="479">
        <v>36906647</v>
      </c>
      <c r="AO42" s="480">
        <v>44647813</v>
      </c>
      <c r="AP42" s="480">
        <v>3267603</v>
      </c>
      <c r="AQ42" s="480">
        <v>3427603</v>
      </c>
      <c r="AR42" s="479">
        <v>1533873</v>
      </c>
      <c r="AS42" s="993">
        <v>985581</v>
      </c>
      <c r="AT42" s="984">
        <v>-2260205</v>
      </c>
      <c r="AU42" s="480">
        <v>-1125455</v>
      </c>
      <c r="AV42" s="497">
        <f t="shared" si="0"/>
        <v>44700761</v>
      </c>
      <c r="AW42" s="977">
        <f t="shared" si="1"/>
        <v>85950224</v>
      </c>
      <c r="AX42" s="984"/>
      <c r="AY42" s="480"/>
      <c r="AZ42" s="497">
        <f t="shared" si="2"/>
        <v>44700761</v>
      </c>
      <c r="BA42" s="498">
        <f t="shared" si="3"/>
        <v>85950224</v>
      </c>
    </row>
    <row r="43" spans="1:53" s="63" customFormat="1" ht="28.5">
      <c r="A43" s="339" t="s">
        <v>107</v>
      </c>
      <c r="B43" s="340">
        <v>0.74</v>
      </c>
      <c r="C43" s="341">
        <v>0.65</v>
      </c>
      <c r="D43" s="312"/>
      <c r="E43" s="313"/>
      <c r="F43" s="340">
        <v>0.04</v>
      </c>
      <c r="G43" s="341">
        <v>-0.18</v>
      </c>
      <c r="H43" s="312"/>
      <c r="I43" s="680"/>
      <c r="J43" s="312">
        <v>-0.51</v>
      </c>
      <c r="K43" s="313">
        <v>-0.52</v>
      </c>
      <c r="L43" s="312"/>
      <c r="M43" s="313"/>
      <c r="N43" s="312"/>
      <c r="O43" s="313"/>
      <c r="P43" s="340">
        <v>-8.01</v>
      </c>
      <c r="Q43" s="341">
        <v>-8.25</v>
      </c>
      <c r="R43" s="312"/>
      <c r="S43" s="313"/>
      <c r="T43" s="312"/>
      <c r="U43" s="313"/>
      <c r="V43" s="312"/>
      <c r="W43" s="313"/>
      <c r="X43" s="342"/>
      <c r="Y43" s="313"/>
      <c r="Z43" s="343">
        <v>0.65</v>
      </c>
      <c r="AA43" s="344">
        <v>0.19</v>
      </c>
      <c r="AB43" s="312">
        <v>0.14</v>
      </c>
      <c r="AC43" s="313">
        <v>0.56</v>
      </c>
      <c r="AD43" s="312">
        <v>4.91</v>
      </c>
      <c r="AE43" s="313">
        <v>5.94</v>
      </c>
      <c r="AF43" s="312"/>
      <c r="AG43" s="313"/>
      <c r="AH43" s="312"/>
      <c r="AI43" s="313"/>
      <c r="AJ43" s="312"/>
      <c r="AK43" s="313"/>
      <c r="AL43" s="313"/>
      <c r="AM43" s="312"/>
      <c r="AN43" s="345"/>
      <c r="AO43" s="346"/>
      <c r="AP43" s="347"/>
      <c r="AQ43" s="348"/>
      <c r="AR43" s="349">
        <v>0.9</v>
      </c>
      <c r="AS43" s="994">
        <v>2.19</v>
      </c>
      <c r="AT43" s="350"/>
      <c r="AU43" s="313"/>
      <c r="AV43" s="311"/>
      <c r="AW43" s="978"/>
      <c r="AX43" s="350"/>
      <c r="AY43" s="313"/>
      <c r="AZ43" s="497">
        <f t="shared" si="2"/>
        <v>0</v>
      </c>
      <c r="BA43" s="498">
        <f t="shared" si="3"/>
        <v>0</v>
      </c>
    </row>
    <row r="44" spans="1:53" ht="14.25">
      <c r="A44" s="293" t="s">
        <v>108</v>
      </c>
      <c r="B44" s="228"/>
      <c r="C44" s="330"/>
      <c r="D44" s="19"/>
      <c r="E44" s="23"/>
      <c r="F44" s="19"/>
      <c r="G44" s="23"/>
      <c r="H44" s="19"/>
      <c r="I44" s="20"/>
      <c r="J44" s="19"/>
      <c r="K44" s="23"/>
      <c r="L44" s="19"/>
      <c r="M44" s="23"/>
      <c r="N44" s="19"/>
      <c r="O44" s="23"/>
      <c r="P44" s="19"/>
      <c r="Q44" s="23"/>
      <c r="R44" s="19"/>
      <c r="S44" s="23"/>
      <c r="T44" s="19"/>
      <c r="U44" s="23"/>
      <c r="V44" s="19"/>
      <c r="W44" s="23"/>
      <c r="X44" s="19"/>
      <c r="Y44" s="23"/>
      <c r="Z44" s="24"/>
      <c r="AA44" s="25"/>
      <c r="AB44" s="19"/>
      <c r="AC44" s="23"/>
      <c r="AD44" s="19">
        <v>10</v>
      </c>
      <c r="AE44" s="23">
        <v>10</v>
      </c>
      <c r="AF44" s="19"/>
      <c r="AG44" s="23"/>
      <c r="AH44" s="19"/>
      <c r="AI44" s="23"/>
      <c r="AJ44" s="19"/>
      <c r="AK44" s="23"/>
      <c r="AL44" s="23"/>
      <c r="AM44" s="19"/>
      <c r="AN44" s="297"/>
      <c r="AO44" s="301"/>
      <c r="AP44" s="26"/>
      <c r="AQ44" s="27"/>
      <c r="AR44" s="309"/>
      <c r="AS44" s="309"/>
      <c r="AT44" s="981"/>
      <c r="AU44" s="23"/>
      <c r="AV44" s="34"/>
      <c r="AW44" s="979"/>
      <c r="AX44" s="981"/>
      <c r="AY44" s="23"/>
      <c r="AZ44" s="497">
        <f t="shared" si="2"/>
        <v>0</v>
      </c>
      <c r="BA44" s="498">
        <f t="shared" si="3"/>
        <v>0</v>
      </c>
    </row>
    <row r="45" spans="1:53" ht="14.25">
      <c r="A45" s="295" t="s">
        <v>109</v>
      </c>
      <c r="B45" s="235"/>
      <c r="C45" s="331"/>
      <c r="D45" s="19"/>
      <c r="E45" s="23"/>
      <c r="F45" s="2"/>
      <c r="G45" s="3"/>
      <c r="H45" s="19"/>
      <c r="I45" s="20"/>
      <c r="J45" s="2"/>
      <c r="K45" s="3"/>
      <c r="L45" s="19"/>
      <c r="M45" s="23"/>
      <c r="N45" s="19"/>
      <c r="O45" s="23"/>
      <c r="P45" s="2"/>
      <c r="Q45" s="3"/>
      <c r="R45" s="19"/>
      <c r="S45" s="23"/>
      <c r="T45" s="19"/>
      <c r="U45" s="23"/>
      <c r="V45" s="2"/>
      <c r="W45" s="3"/>
      <c r="X45" s="2">
        <v>11.72</v>
      </c>
      <c r="Y45" s="3">
        <v>11.52</v>
      </c>
      <c r="Z45" s="236"/>
      <c r="AA45" s="335"/>
      <c r="AB45" s="2"/>
      <c r="AC45" s="3"/>
      <c r="AD45" s="2"/>
      <c r="AE45" s="3"/>
      <c r="AF45" s="19"/>
      <c r="AG45" s="23"/>
      <c r="AH45" s="19"/>
      <c r="AI45" s="23"/>
      <c r="AJ45" s="19"/>
      <c r="AK45" s="23"/>
      <c r="AL45" s="23"/>
      <c r="AM45" s="19"/>
      <c r="AN45" s="300"/>
      <c r="AO45" s="304"/>
      <c r="AP45" s="26"/>
      <c r="AQ45" s="27"/>
      <c r="AR45" s="234"/>
      <c r="AS45" s="602"/>
      <c r="AT45" s="981"/>
      <c r="AU45" s="23"/>
      <c r="AV45" s="34"/>
      <c r="AW45" s="979"/>
      <c r="AX45" s="981"/>
      <c r="AY45" s="23"/>
      <c r="AZ45" s="497">
        <f t="shared" si="2"/>
        <v>0</v>
      </c>
      <c r="BA45" s="498">
        <f t="shared" si="3"/>
        <v>0</v>
      </c>
    </row>
    <row r="46" spans="1:53" ht="15" thickBot="1">
      <c r="A46" s="296" t="s">
        <v>110</v>
      </c>
      <c r="B46" s="332"/>
      <c r="C46" s="333"/>
      <c r="D46" s="66"/>
      <c r="E46" s="67"/>
      <c r="F46" s="66"/>
      <c r="G46" s="67"/>
      <c r="H46" s="66"/>
      <c r="I46" s="681"/>
      <c r="J46" s="66"/>
      <c r="K46" s="67"/>
      <c r="L46" s="66"/>
      <c r="M46" s="67"/>
      <c r="N46" s="66"/>
      <c r="O46" s="67"/>
      <c r="P46" s="66"/>
      <c r="Q46" s="67"/>
      <c r="R46" s="66"/>
      <c r="S46" s="67"/>
      <c r="T46" s="66"/>
      <c r="U46" s="67"/>
      <c r="V46" s="72"/>
      <c r="W46" s="73"/>
      <c r="X46" s="72">
        <v>11.72</v>
      </c>
      <c r="Y46" s="73">
        <v>11.51</v>
      </c>
      <c r="Z46" s="336"/>
      <c r="AA46" s="337"/>
      <c r="AB46" s="66"/>
      <c r="AC46" s="67"/>
      <c r="AD46" s="68"/>
      <c r="AE46" s="69"/>
      <c r="AF46" s="66"/>
      <c r="AG46" s="67"/>
      <c r="AH46" s="66"/>
      <c r="AI46" s="67"/>
      <c r="AJ46" s="66"/>
      <c r="AK46" s="67"/>
      <c r="AL46" s="241"/>
      <c r="AM46" s="240"/>
      <c r="AN46" s="305"/>
      <c r="AO46" s="306"/>
      <c r="AP46" s="70"/>
      <c r="AQ46" s="71"/>
      <c r="AR46" s="310">
        <v>0.9</v>
      </c>
      <c r="AS46" s="603">
        <v>2.19</v>
      </c>
      <c r="AT46" s="985"/>
      <c r="AU46" s="67"/>
      <c r="AV46" s="66"/>
      <c r="AW46" s="681"/>
      <c r="AX46" s="985"/>
      <c r="AY46" s="67"/>
      <c r="AZ46" s="756">
        <f t="shared" si="2"/>
        <v>0</v>
      </c>
      <c r="BA46" s="986">
        <f t="shared" si="3"/>
        <v>0</v>
      </c>
    </row>
  </sheetData>
  <sheetProtection/>
  <mergeCells count="28">
    <mergeCell ref="P3:Q3"/>
    <mergeCell ref="R3:S3"/>
    <mergeCell ref="A1:AY1"/>
    <mergeCell ref="A2:AY2"/>
    <mergeCell ref="A3:A4"/>
    <mergeCell ref="D3:E3"/>
    <mergeCell ref="F3:G3"/>
    <mergeCell ref="AH3:AI3"/>
    <mergeCell ref="H3:I3"/>
    <mergeCell ref="J3:K3"/>
    <mergeCell ref="L3:M3"/>
    <mergeCell ref="N3:O3"/>
    <mergeCell ref="T3:U3"/>
    <mergeCell ref="AV3:AW3"/>
    <mergeCell ref="AX3:AY3"/>
    <mergeCell ref="AD3:AE3"/>
    <mergeCell ref="AF3:AG3"/>
    <mergeCell ref="V3:W3"/>
    <mergeCell ref="X3:Y3"/>
    <mergeCell ref="Z3:AA3"/>
    <mergeCell ref="AB3:AC3"/>
    <mergeCell ref="AJ3:AK3"/>
    <mergeCell ref="AL3:AM3"/>
    <mergeCell ref="AZ3:BA3"/>
    <mergeCell ref="AN3:AO3"/>
    <mergeCell ref="AR3:AS3"/>
    <mergeCell ref="AT3:AU3"/>
    <mergeCell ref="AP3:AQ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6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5"/>
  <cols>
    <col min="1" max="1" width="59.28125" style="0" bestFit="1" customWidth="1"/>
    <col min="2" max="3" width="11.28125" style="0" bestFit="1" customWidth="1"/>
    <col min="4" max="6" width="11.57421875" style="0" bestFit="1" customWidth="1"/>
    <col min="7" max="7" width="12.8515625" style="0" bestFit="1" customWidth="1"/>
    <col min="8" max="8" width="12.8515625" style="0" customWidth="1"/>
    <col min="9" max="9" width="12.8515625" style="0" bestFit="1" customWidth="1"/>
    <col min="10" max="11" width="11.57421875" style="0" bestFit="1" customWidth="1"/>
    <col min="12" max="13" width="12.8515625" style="0" bestFit="1" customWidth="1"/>
    <col min="14" max="17" width="11.57421875" style="0" bestFit="1" customWidth="1"/>
    <col min="18" max="19" width="12.8515625" style="0" bestFit="1" customWidth="1"/>
    <col min="20" max="21" width="11.57421875" style="0" bestFit="1" customWidth="1"/>
    <col min="22" max="23" width="12.8515625" style="0" bestFit="1" customWidth="1"/>
    <col min="24" max="25" width="14.28125" style="0" bestFit="1" customWidth="1"/>
    <col min="26" max="26" width="12.57421875" style="0" bestFit="1" customWidth="1"/>
    <col min="27" max="27" width="11.57421875" style="0" bestFit="1" customWidth="1"/>
    <col min="28" max="28" width="12.421875" style="0" bestFit="1" customWidth="1"/>
    <col min="29" max="37" width="12.8515625" style="0" bestFit="1" customWidth="1"/>
    <col min="38" max="39" width="11.57421875" style="0" bestFit="1" customWidth="1"/>
    <col min="40" max="41" width="12.8515625" style="0" bestFit="1" customWidth="1"/>
    <col min="42" max="42" width="12.57421875" style="0" bestFit="1" customWidth="1"/>
    <col min="43" max="43" width="11.57421875" style="0" customWidth="1"/>
    <col min="44" max="44" width="12.57421875" style="0" bestFit="1" customWidth="1"/>
    <col min="45" max="45" width="11.57421875" style="0" bestFit="1" customWidth="1"/>
    <col min="46" max="47" width="12.8515625" style="0" bestFit="1" customWidth="1"/>
    <col min="48" max="49" width="17.28125" style="0" bestFit="1" customWidth="1"/>
    <col min="50" max="52" width="15.57421875" style="0" bestFit="1" customWidth="1"/>
    <col min="53" max="53" width="17.28125" style="0" bestFit="1" customWidth="1"/>
  </cols>
  <sheetData>
    <row r="1" spans="1:53" ht="40.5" customHeight="1" thickBot="1">
      <c r="A1" s="974" t="s">
        <v>259</v>
      </c>
      <c r="B1" s="1022" t="s">
        <v>117</v>
      </c>
      <c r="C1" s="1023"/>
      <c r="D1" s="1024" t="s">
        <v>260</v>
      </c>
      <c r="E1" s="1025"/>
      <c r="F1" s="1024" t="s">
        <v>119</v>
      </c>
      <c r="G1" s="1025"/>
      <c r="H1" s="1024" t="s">
        <v>120</v>
      </c>
      <c r="I1" s="1025"/>
      <c r="J1" s="1024" t="s">
        <v>261</v>
      </c>
      <c r="K1" s="1025"/>
      <c r="L1" s="1024" t="s">
        <v>122</v>
      </c>
      <c r="M1" s="1025"/>
      <c r="N1" s="1024" t="s">
        <v>123</v>
      </c>
      <c r="O1" s="1025"/>
      <c r="P1" s="1024" t="s">
        <v>141</v>
      </c>
      <c r="Q1" s="1025"/>
      <c r="R1" s="1024" t="s">
        <v>262</v>
      </c>
      <c r="S1" s="1025"/>
      <c r="T1" s="1024" t="s">
        <v>263</v>
      </c>
      <c r="U1" s="1025"/>
      <c r="V1" s="1024" t="s">
        <v>264</v>
      </c>
      <c r="W1" s="1025"/>
      <c r="X1" s="1024" t="s">
        <v>265</v>
      </c>
      <c r="Y1" s="1025"/>
      <c r="Z1" s="1024" t="s">
        <v>163</v>
      </c>
      <c r="AA1" s="1025"/>
      <c r="AB1" s="1024" t="s">
        <v>130</v>
      </c>
      <c r="AC1" s="1025"/>
      <c r="AD1" s="1026" t="s">
        <v>131</v>
      </c>
      <c r="AE1" s="1027"/>
      <c r="AF1" s="1024" t="s">
        <v>132</v>
      </c>
      <c r="AG1" s="1025"/>
      <c r="AH1" s="1024" t="s">
        <v>245</v>
      </c>
      <c r="AI1" s="1025"/>
      <c r="AJ1" s="1024" t="s">
        <v>134</v>
      </c>
      <c r="AK1" s="1025"/>
      <c r="AL1" s="1026" t="s">
        <v>135</v>
      </c>
      <c r="AM1" s="1027"/>
      <c r="AN1" s="1024" t="s">
        <v>136</v>
      </c>
      <c r="AO1" s="1025"/>
      <c r="AP1" s="1024" t="s">
        <v>137</v>
      </c>
      <c r="AQ1" s="1025"/>
      <c r="AR1" s="1024" t="s">
        <v>266</v>
      </c>
      <c r="AS1" s="1025"/>
      <c r="AT1" s="1024" t="s">
        <v>139</v>
      </c>
      <c r="AU1" s="1025"/>
      <c r="AV1" s="1030" t="s">
        <v>1</v>
      </c>
      <c r="AW1" s="1031"/>
      <c r="AX1" s="1026" t="s">
        <v>140</v>
      </c>
      <c r="AY1" s="1027"/>
      <c r="AZ1" s="1028" t="s">
        <v>2</v>
      </c>
      <c r="BA1" s="1029"/>
    </row>
    <row r="2" spans="1:53" ht="41.25" thickBot="1">
      <c r="A2" s="976" t="s">
        <v>0</v>
      </c>
      <c r="B2" s="961" t="s">
        <v>310</v>
      </c>
      <c r="C2" s="995" t="s">
        <v>311</v>
      </c>
      <c r="D2" s="963" t="s">
        <v>310</v>
      </c>
      <c r="E2" s="995" t="s">
        <v>311</v>
      </c>
      <c r="F2" s="963" t="s">
        <v>310</v>
      </c>
      <c r="G2" s="995" t="s">
        <v>311</v>
      </c>
      <c r="H2" s="963" t="s">
        <v>310</v>
      </c>
      <c r="I2" s="995" t="s">
        <v>311</v>
      </c>
      <c r="J2" s="963" t="s">
        <v>310</v>
      </c>
      <c r="K2" s="995" t="s">
        <v>311</v>
      </c>
      <c r="L2" s="963" t="s">
        <v>310</v>
      </c>
      <c r="M2" s="995" t="s">
        <v>311</v>
      </c>
      <c r="N2" s="963" t="s">
        <v>310</v>
      </c>
      <c r="O2" s="995" t="s">
        <v>311</v>
      </c>
      <c r="P2" s="963" t="s">
        <v>310</v>
      </c>
      <c r="Q2" s="995" t="s">
        <v>311</v>
      </c>
      <c r="R2" s="963" t="s">
        <v>310</v>
      </c>
      <c r="S2" s="995" t="s">
        <v>311</v>
      </c>
      <c r="T2" s="963" t="s">
        <v>310</v>
      </c>
      <c r="U2" s="995" t="s">
        <v>311</v>
      </c>
      <c r="V2" s="963" t="s">
        <v>310</v>
      </c>
      <c r="W2" s="995" t="s">
        <v>311</v>
      </c>
      <c r="X2" s="963" t="s">
        <v>310</v>
      </c>
      <c r="Y2" s="995" t="s">
        <v>311</v>
      </c>
      <c r="Z2" s="963" t="s">
        <v>310</v>
      </c>
      <c r="AA2" s="995" t="s">
        <v>311</v>
      </c>
      <c r="AB2" s="963" t="s">
        <v>310</v>
      </c>
      <c r="AC2" s="995" t="s">
        <v>311</v>
      </c>
      <c r="AD2" s="963" t="s">
        <v>310</v>
      </c>
      <c r="AE2" s="995" t="s">
        <v>311</v>
      </c>
      <c r="AF2" s="963" t="s">
        <v>310</v>
      </c>
      <c r="AG2" s="995" t="s">
        <v>311</v>
      </c>
      <c r="AH2" s="963" t="s">
        <v>310</v>
      </c>
      <c r="AI2" s="995" t="s">
        <v>311</v>
      </c>
      <c r="AJ2" s="963" t="s">
        <v>310</v>
      </c>
      <c r="AK2" s="995" t="s">
        <v>311</v>
      </c>
      <c r="AL2" s="963" t="s">
        <v>310</v>
      </c>
      <c r="AM2" s="995" t="s">
        <v>311</v>
      </c>
      <c r="AN2" s="963" t="s">
        <v>310</v>
      </c>
      <c r="AO2" s="995" t="s">
        <v>311</v>
      </c>
      <c r="AP2" s="963" t="s">
        <v>310</v>
      </c>
      <c r="AQ2" s="995" t="s">
        <v>311</v>
      </c>
      <c r="AR2" s="963" t="s">
        <v>310</v>
      </c>
      <c r="AS2" s="995" t="s">
        <v>311</v>
      </c>
      <c r="AT2" s="963" t="s">
        <v>310</v>
      </c>
      <c r="AU2" s="995" t="s">
        <v>311</v>
      </c>
      <c r="AV2" s="963" t="s">
        <v>310</v>
      </c>
      <c r="AW2" s="995" t="s">
        <v>311</v>
      </c>
      <c r="AX2" s="963" t="s">
        <v>310</v>
      </c>
      <c r="AY2" s="995" t="s">
        <v>311</v>
      </c>
      <c r="AZ2" s="961" t="s">
        <v>310</v>
      </c>
      <c r="BA2" s="995" t="s">
        <v>311</v>
      </c>
    </row>
    <row r="3" spans="1:53" ht="16.5">
      <c r="A3" s="958" t="s">
        <v>267</v>
      </c>
      <c r="B3" s="972"/>
      <c r="C3" s="973"/>
      <c r="D3" s="975"/>
      <c r="E3" s="973"/>
      <c r="F3" s="975"/>
      <c r="G3" s="973"/>
      <c r="H3" s="975"/>
      <c r="I3" s="973"/>
      <c r="J3" s="975"/>
      <c r="K3" s="973"/>
      <c r="L3" s="975"/>
      <c r="M3" s="973"/>
      <c r="N3" s="975"/>
      <c r="O3" s="973"/>
      <c r="P3" s="975"/>
      <c r="Q3" s="973"/>
      <c r="R3" s="975"/>
      <c r="S3" s="973"/>
      <c r="T3" s="975"/>
      <c r="U3" s="973"/>
      <c r="V3" s="975"/>
      <c r="W3" s="973"/>
      <c r="X3" s="975"/>
      <c r="Y3" s="973"/>
      <c r="Z3" s="975"/>
      <c r="AA3" s="973"/>
      <c r="AB3" s="975"/>
      <c r="AC3" s="973"/>
      <c r="AD3" s="975"/>
      <c r="AE3" s="973"/>
      <c r="AF3" s="975"/>
      <c r="AG3" s="973"/>
      <c r="AH3" s="975"/>
      <c r="AI3" s="973"/>
      <c r="AJ3" s="975"/>
      <c r="AK3" s="973"/>
      <c r="AL3" s="975"/>
      <c r="AM3" s="973"/>
      <c r="AN3" s="975"/>
      <c r="AO3" s="973"/>
      <c r="AP3" s="975"/>
      <c r="AQ3" s="973"/>
      <c r="AR3" s="975"/>
      <c r="AS3" s="973"/>
      <c r="AT3" s="975"/>
      <c r="AU3" s="973"/>
      <c r="AV3" s="975"/>
      <c r="AW3" s="973"/>
      <c r="AX3" s="975"/>
      <c r="AY3" s="973"/>
      <c r="AZ3" s="972"/>
      <c r="BA3" s="973"/>
    </row>
    <row r="4" spans="1:53" ht="16.5">
      <c r="A4" s="956" t="s">
        <v>268</v>
      </c>
      <c r="B4" s="962"/>
      <c r="C4" s="959"/>
      <c r="D4" s="960"/>
      <c r="E4" s="959"/>
      <c r="F4" s="960"/>
      <c r="G4" s="959"/>
      <c r="H4" s="960"/>
      <c r="I4" s="959"/>
      <c r="J4" s="960"/>
      <c r="K4" s="959"/>
      <c r="L4" s="960"/>
      <c r="M4" s="959"/>
      <c r="N4" s="960"/>
      <c r="O4" s="959"/>
      <c r="P4" s="960"/>
      <c r="Q4" s="959"/>
      <c r="R4" s="960"/>
      <c r="S4" s="959"/>
      <c r="T4" s="960"/>
      <c r="U4" s="959"/>
      <c r="V4" s="960"/>
      <c r="W4" s="959"/>
      <c r="X4" s="960"/>
      <c r="Y4" s="959"/>
      <c r="Z4" s="960"/>
      <c r="AA4" s="959"/>
      <c r="AB4" s="960"/>
      <c r="AC4" s="959"/>
      <c r="AD4" s="960"/>
      <c r="AE4" s="959"/>
      <c r="AF4" s="960"/>
      <c r="AG4" s="959"/>
      <c r="AH4" s="960"/>
      <c r="AI4" s="959"/>
      <c r="AJ4" s="960"/>
      <c r="AK4" s="959"/>
      <c r="AL4" s="960"/>
      <c r="AM4" s="959"/>
      <c r="AN4" s="960"/>
      <c r="AO4" s="959"/>
      <c r="AP4" s="960"/>
      <c r="AQ4" s="959"/>
      <c r="AR4" s="960"/>
      <c r="AS4" s="959"/>
      <c r="AT4" s="960"/>
      <c r="AU4" s="959"/>
      <c r="AV4" s="975"/>
      <c r="AW4" s="598"/>
      <c r="AX4" s="960"/>
      <c r="AY4" s="959"/>
      <c r="AZ4" s="962"/>
      <c r="BA4" s="959"/>
    </row>
    <row r="5" spans="1:53" ht="16.5">
      <c r="A5" s="956" t="s">
        <v>269</v>
      </c>
      <c r="B5" s="998">
        <v>19012080</v>
      </c>
      <c r="C5" s="999">
        <f>B5</f>
        <v>19012080</v>
      </c>
      <c r="D5" s="960">
        <v>13594410</v>
      </c>
      <c r="E5" s="959">
        <v>14298515</v>
      </c>
      <c r="F5" s="960">
        <v>20049000</v>
      </c>
      <c r="G5" s="959">
        <f>F5</f>
        <v>20049000</v>
      </c>
      <c r="H5" s="960">
        <v>1507090</v>
      </c>
      <c r="I5" s="959">
        <v>1507090</v>
      </c>
      <c r="J5" s="960">
        <v>22862010</v>
      </c>
      <c r="K5" s="959">
        <v>24062010</v>
      </c>
      <c r="L5" s="960">
        <v>9500000</v>
      </c>
      <c r="M5" s="959">
        <f>L5</f>
        <v>9500000</v>
      </c>
      <c r="N5" s="960">
        <v>3740619</v>
      </c>
      <c r="O5" s="959">
        <v>3740619</v>
      </c>
      <c r="P5" s="960">
        <v>2615922</v>
      </c>
      <c r="Q5" s="959">
        <f>P5</f>
        <v>2615922</v>
      </c>
      <c r="R5" s="960">
        <v>17500000</v>
      </c>
      <c r="S5" s="959">
        <f>R5</f>
        <v>17500000</v>
      </c>
      <c r="T5" s="960">
        <v>14520000</v>
      </c>
      <c r="U5" s="959">
        <v>15074503</v>
      </c>
      <c r="V5" s="960">
        <v>19952881</v>
      </c>
      <c r="W5" s="959">
        <v>19984753</v>
      </c>
      <c r="X5" s="960">
        <v>14323193</v>
      </c>
      <c r="Y5" s="959">
        <v>14353471</v>
      </c>
      <c r="Z5" s="960">
        <v>7998912</v>
      </c>
      <c r="AA5" s="959">
        <v>8000000</v>
      </c>
      <c r="AB5" s="960">
        <v>6250000</v>
      </c>
      <c r="AC5" s="959">
        <f>AB5</f>
        <v>6250000</v>
      </c>
      <c r="AD5" s="960">
        <v>5102902</v>
      </c>
      <c r="AE5" s="959">
        <v>5102902</v>
      </c>
      <c r="AF5" s="960">
        <v>19188129</v>
      </c>
      <c r="AG5" s="959">
        <v>19188129</v>
      </c>
      <c r="AH5" s="960">
        <v>20128843</v>
      </c>
      <c r="AI5" s="959">
        <v>20128843</v>
      </c>
      <c r="AJ5" s="960">
        <v>11963235</v>
      </c>
      <c r="AK5" s="959">
        <v>11963235</v>
      </c>
      <c r="AL5" s="960">
        <v>2320000</v>
      </c>
      <c r="AM5" s="959">
        <v>2320000</v>
      </c>
      <c r="AN5" s="960">
        <v>10000000</v>
      </c>
      <c r="AO5" s="959">
        <f>AN5</f>
        <v>10000000</v>
      </c>
      <c r="AP5" s="960">
        <v>1750487</v>
      </c>
      <c r="AQ5" s="959">
        <v>1750752</v>
      </c>
      <c r="AR5" s="960">
        <v>2500000</v>
      </c>
      <c r="AS5" s="959">
        <v>2589641</v>
      </c>
      <c r="AT5" s="960">
        <f>AU5</f>
        <v>19535000</v>
      </c>
      <c r="AU5" s="959">
        <v>19535000</v>
      </c>
      <c r="AV5" s="960">
        <f aca="true" t="shared" si="0" ref="AV5:AV68">SUM(B5+D5+F5+H5+J5+L5+N5+P5+R5+T5+V5+X5+Z5+AB5+AD5+AF5+AH5+AJ5+AL5+AN5+AP5+AR5+AT5)</f>
        <v>265914713</v>
      </c>
      <c r="AW5" s="449">
        <f aca="true" t="shared" si="1" ref="AW5:AW68">SUM(C5+E5+G5+I5+K5+M5+O5+Q5+S5+U5+W5+Y5+AA5+AC5+AE5+AG5+AI5+AK5+AM5+AO5+AQ5+AS5+AU5)</f>
        <v>268526465</v>
      </c>
      <c r="AX5" s="960">
        <v>1000000</v>
      </c>
      <c r="AY5" s="959">
        <f>AX5</f>
        <v>1000000</v>
      </c>
      <c r="AZ5" s="962">
        <f aca="true" t="shared" si="2" ref="AZ5:BA9">AV5+AX5</f>
        <v>266914713</v>
      </c>
      <c r="BA5" s="449">
        <f t="shared" si="2"/>
        <v>269526465</v>
      </c>
    </row>
    <row r="6" spans="1:53" ht="16.5">
      <c r="A6" s="956" t="s">
        <v>270</v>
      </c>
      <c r="B6" s="998">
        <v>0</v>
      </c>
      <c r="C6" s="999"/>
      <c r="D6" s="960"/>
      <c r="E6" s="959"/>
      <c r="F6" s="960"/>
      <c r="G6" s="959"/>
      <c r="H6" s="960"/>
      <c r="I6" s="959"/>
      <c r="J6" s="960"/>
      <c r="K6" s="959"/>
      <c r="L6" s="960"/>
      <c r="M6" s="959"/>
      <c r="N6" s="960"/>
      <c r="O6" s="959"/>
      <c r="P6" s="960"/>
      <c r="Q6" s="959"/>
      <c r="R6" s="960"/>
      <c r="S6" s="959"/>
      <c r="T6" s="960"/>
      <c r="U6" s="959"/>
      <c r="V6" s="960"/>
      <c r="W6" s="959"/>
      <c r="X6" s="960">
        <v>780</v>
      </c>
      <c r="Y6" s="959"/>
      <c r="Z6" s="960"/>
      <c r="AA6" s="959"/>
      <c r="AB6" s="960"/>
      <c r="AC6" s="959"/>
      <c r="AD6" s="960"/>
      <c r="AE6" s="959"/>
      <c r="AF6" s="960"/>
      <c r="AG6" s="959"/>
      <c r="AH6" s="960"/>
      <c r="AI6" s="959"/>
      <c r="AJ6" s="960"/>
      <c r="AK6" s="959"/>
      <c r="AL6" s="960"/>
      <c r="AM6" s="959"/>
      <c r="AN6" s="960"/>
      <c r="AO6" s="959"/>
      <c r="AP6" s="960"/>
      <c r="AQ6" s="959"/>
      <c r="AR6" s="960"/>
      <c r="AS6" s="959"/>
      <c r="AT6" s="960"/>
      <c r="AU6" s="959"/>
      <c r="AV6" s="960">
        <f t="shared" si="0"/>
        <v>780</v>
      </c>
      <c r="AW6" s="449">
        <f t="shared" si="1"/>
        <v>0</v>
      </c>
      <c r="AX6" s="960"/>
      <c r="AY6" s="959"/>
      <c r="AZ6" s="962">
        <f t="shared" si="2"/>
        <v>780</v>
      </c>
      <c r="BA6" s="449">
        <f t="shared" si="2"/>
        <v>0</v>
      </c>
    </row>
    <row r="7" spans="1:53" ht="16.5">
      <c r="A7" s="956" t="s">
        <v>271</v>
      </c>
      <c r="B7" s="998">
        <v>2682948</v>
      </c>
      <c r="C7" s="999">
        <v>2682948</v>
      </c>
      <c r="D7" s="960">
        <v>3139879</v>
      </c>
      <c r="E7" s="959">
        <v>3969868</v>
      </c>
      <c r="F7" s="960"/>
      <c r="G7" s="959"/>
      <c r="H7" s="960">
        <v>74807724</v>
      </c>
      <c r="I7" s="959">
        <v>83247818</v>
      </c>
      <c r="J7" s="960">
        <v>2074442</v>
      </c>
      <c r="K7" s="959">
        <f>J7</f>
        <v>2074442</v>
      </c>
      <c r="L7" s="960">
        <v>1250000</v>
      </c>
      <c r="M7" s="959">
        <f>L7</f>
        <v>1250000</v>
      </c>
      <c r="N7" s="960">
        <v>8329217</v>
      </c>
      <c r="O7" s="959">
        <v>8329217</v>
      </c>
      <c r="P7" s="960">
        <v>10658765</v>
      </c>
      <c r="Q7" s="959">
        <v>10658765</v>
      </c>
      <c r="R7" s="960"/>
      <c r="S7" s="959"/>
      <c r="T7" s="960"/>
      <c r="U7" s="959"/>
      <c r="V7" s="960">
        <v>12045851</v>
      </c>
      <c r="W7" s="959">
        <v>18078976</v>
      </c>
      <c r="X7" s="960">
        <v>36400578</v>
      </c>
      <c r="Y7" s="959">
        <v>46975971</v>
      </c>
      <c r="Z7" s="960"/>
      <c r="AA7" s="959"/>
      <c r="AB7" s="960">
        <v>1300000</v>
      </c>
      <c r="AC7" s="959">
        <f>AB7</f>
        <v>1300000</v>
      </c>
      <c r="AD7" s="960">
        <v>10111533</v>
      </c>
      <c r="AE7" s="959">
        <v>13144262</v>
      </c>
      <c r="AF7" s="960">
        <v>953786</v>
      </c>
      <c r="AG7" s="959">
        <v>5867168</v>
      </c>
      <c r="AH7" s="960">
        <v>1571242</v>
      </c>
      <c r="AI7" s="959">
        <v>2209952</v>
      </c>
      <c r="AJ7" s="960">
        <v>3031592</v>
      </c>
      <c r="AK7" s="959">
        <v>3031592</v>
      </c>
      <c r="AL7" s="960">
        <v>1222267</v>
      </c>
      <c r="AM7" s="959">
        <v>1235537</v>
      </c>
      <c r="AN7" s="960">
        <v>36906647</v>
      </c>
      <c r="AO7" s="959">
        <v>44647810</v>
      </c>
      <c r="AP7" s="960">
        <v>3268285</v>
      </c>
      <c r="AQ7" s="959">
        <v>3425397</v>
      </c>
      <c r="AR7" s="960">
        <v>1700000</v>
      </c>
      <c r="AS7" s="959">
        <v>2686056</v>
      </c>
      <c r="AT7" s="960"/>
      <c r="AU7" s="959">
        <v>259637</v>
      </c>
      <c r="AV7" s="960">
        <f t="shared" si="0"/>
        <v>211454756</v>
      </c>
      <c r="AW7" s="449">
        <f t="shared" si="1"/>
        <v>255075416</v>
      </c>
      <c r="AX7" s="960">
        <v>4715108</v>
      </c>
      <c r="AY7" s="959">
        <v>5017964</v>
      </c>
      <c r="AZ7" s="962">
        <f t="shared" si="2"/>
        <v>216169864</v>
      </c>
      <c r="BA7" s="449">
        <f t="shared" si="2"/>
        <v>260093380</v>
      </c>
    </row>
    <row r="8" spans="1:53" ht="16.5">
      <c r="A8" s="956" t="s">
        <v>272</v>
      </c>
      <c r="B8" s="998">
        <v>-3164</v>
      </c>
      <c r="C8" s="999">
        <v>-441</v>
      </c>
      <c r="D8" s="960"/>
      <c r="E8" s="959"/>
      <c r="F8" s="960"/>
      <c r="G8" s="959"/>
      <c r="H8" s="960">
        <v>89</v>
      </c>
      <c r="I8" s="959">
        <v>842</v>
      </c>
      <c r="J8" s="960">
        <v>-5979</v>
      </c>
      <c r="K8" s="959">
        <v>32916</v>
      </c>
      <c r="L8" s="960"/>
      <c r="M8" s="959">
        <v>8580</v>
      </c>
      <c r="N8" s="960">
        <v>-29485</v>
      </c>
      <c r="O8" s="959">
        <v>156277</v>
      </c>
      <c r="P8" s="960">
        <v>9107</v>
      </c>
      <c r="Q8" s="959">
        <v>93164</v>
      </c>
      <c r="R8" s="960"/>
      <c r="S8" s="959"/>
      <c r="T8" s="960">
        <v>-16501</v>
      </c>
      <c r="U8" s="959">
        <v>9544</v>
      </c>
      <c r="V8" s="960">
        <v>-412372</v>
      </c>
      <c r="W8" s="959">
        <v>323064</v>
      </c>
      <c r="X8" s="960">
        <v>2508793</v>
      </c>
      <c r="Y8" s="959">
        <v>2730821</v>
      </c>
      <c r="Z8" s="960">
        <v>897</v>
      </c>
      <c r="AA8" s="959">
        <v>314</v>
      </c>
      <c r="AB8" s="960">
        <v>1269.55</v>
      </c>
      <c r="AC8" s="959">
        <v>2501.78</v>
      </c>
      <c r="AD8" s="960"/>
      <c r="AE8" s="959"/>
      <c r="AF8" s="960">
        <v>96710</v>
      </c>
      <c r="AG8" s="959">
        <v>38070</v>
      </c>
      <c r="AH8" s="960"/>
      <c r="AI8" s="959">
        <v>2870</v>
      </c>
      <c r="AJ8" s="960">
        <v>112596</v>
      </c>
      <c r="AK8" s="959">
        <v>361236</v>
      </c>
      <c r="AL8" s="960"/>
      <c r="AM8" s="959">
        <v>38244</v>
      </c>
      <c r="AN8" s="960">
        <v>524362</v>
      </c>
      <c r="AO8" s="959">
        <v>872980</v>
      </c>
      <c r="AP8" s="960">
        <v>30430</v>
      </c>
      <c r="AQ8" s="959">
        <v>687830</v>
      </c>
      <c r="AR8" s="960">
        <v>559</v>
      </c>
      <c r="AS8" s="959">
        <v>-218</v>
      </c>
      <c r="AT8" s="960">
        <v>25592</v>
      </c>
      <c r="AU8" s="959">
        <v>97141</v>
      </c>
      <c r="AV8" s="960">
        <f t="shared" si="0"/>
        <v>2842903.55</v>
      </c>
      <c r="AW8" s="449">
        <f t="shared" si="1"/>
        <v>5455735.779999999</v>
      </c>
      <c r="AX8" s="960">
        <v>114321</v>
      </c>
      <c r="AY8" s="959">
        <v>46564</v>
      </c>
      <c r="AZ8" s="962">
        <f t="shared" si="2"/>
        <v>2957224.55</v>
      </c>
      <c r="BA8" s="449">
        <f t="shared" si="2"/>
        <v>5502299.779999999</v>
      </c>
    </row>
    <row r="9" spans="1:53" ht="16.5">
      <c r="A9" s="956" t="s">
        <v>327</v>
      </c>
      <c r="B9" s="998"/>
      <c r="C9" s="1000"/>
      <c r="D9" s="960"/>
      <c r="E9" s="443"/>
      <c r="F9" s="960"/>
      <c r="G9" s="443"/>
      <c r="H9" s="960"/>
      <c r="I9" s="443"/>
      <c r="J9" s="960"/>
      <c r="K9" s="443"/>
      <c r="L9" s="960"/>
      <c r="M9" s="443"/>
      <c r="N9" s="960"/>
      <c r="O9" s="443"/>
      <c r="P9" s="960"/>
      <c r="Q9" s="443"/>
      <c r="R9" s="960"/>
      <c r="S9" s="443"/>
      <c r="T9" s="960"/>
      <c r="U9" s="443"/>
      <c r="V9" s="960"/>
      <c r="W9" s="443"/>
      <c r="X9" s="960">
        <v>147</v>
      </c>
      <c r="Y9" s="443">
        <v>49</v>
      </c>
      <c r="Z9" s="960"/>
      <c r="AA9" s="443"/>
      <c r="AB9" s="960"/>
      <c r="AC9" s="443"/>
      <c r="AD9" s="960"/>
      <c r="AE9" s="443"/>
      <c r="AF9" s="960"/>
      <c r="AG9" s="443"/>
      <c r="AH9" s="960"/>
      <c r="AI9" s="443"/>
      <c r="AJ9" s="960"/>
      <c r="AK9" s="443"/>
      <c r="AL9" s="960"/>
      <c r="AM9" s="443"/>
      <c r="AN9" s="960"/>
      <c r="AO9" s="443"/>
      <c r="AP9" s="960"/>
      <c r="AQ9" s="443"/>
      <c r="AR9" s="960"/>
      <c r="AS9" s="443"/>
      <c r="AT9" s="960"/>
      <c r="AU9" s="443"/>
      <c r="AV9" s="960">
        <f t="shared" si="0"/>
        <v>147</v>
      </c>
      <c r="AW9" s="449">
        <f t="shared" si="1"/>
        <v>49</v>
      </c>
      <c r="AX9" s="960"/>
      <c r="AY9" s="959"/>
      <c r="AZ9" s="962">
        <f t="shared" si="2"/>
        <v>147</v>
      </c>
      <c r="BA9" s="449">
        <f t="shared" si="2"/>
        <v>49</v>
      </c>
    </row>
    <row r="10" spans="1:53" ht="18">
      <c r="A10" s="957" t="s">
        <v>255</v>
      </c>
      <c r="B10" s="1001">
        <f aca="true" t="shared" si="3" ref="B10:W10">SUM(B5:B8)</f>
        <v>21691864</v>
      </c>
      <c r="C10" s="1002">
        <f t="shared" si="3"/>
        <v>21694587</v>
      </c>
      <c r="D10" s="968">
        <f t="shared" si="3"/>
        <v>16734289</v>
      </c>
      <c r="E10" s="1002">
        <f t="shared" si="3"/>
        <v>18268383</v>
      </c>
      <c r="F10" s="968">
        <f t="shared" si="3"/>
        <v>20049000</v>
      </c>
      <c r="G10" s="1002">
        <f t="shared" si="3"/>
        <v>20049000</v>
      </c>
      <c r="H10" s="968">
        <f t="shared" si="3"/>
        <v>76314903</v>
      </c>
      <c r="I10" s="1002">
        <f t="shared" si="3"/>
        <v>84755750</v>
      </c>
      <c r="J10" s="968">
        <f t="shared" si="3"/>
        <v>24930473</v>
      </c>
      <c r="K10" s="1002">
        <f t="shared" si="3"/>
        <v>26169368</v>
      </c>
      <c r="L10" s="968">
        <f t="shared" si="3"/>
        <v>10750000</v>
      </c>
      <c r="M10" s="1002">
        <f t="shared" si="3"/>
        <v>10758580</v>
      </c>
      <c r="N10" s="968">
        <f t="shared" si="3"/>
        <v>12040351</v>
      </c>
      <c r="O10" s="1002">
        <f t="shared" si="3"/>
        <v>12226113</v>
      </c>
      <c r="P10" s="968">
        <f t="shared" si="3"/>
        <v>13283794</v>
      </c>
      <c r="Q10" s="1002">
        <f t="shared" si="3"/>
        <v>13367851</v>
      </c>
      <c r="R10" s="968">
        <f t="shared" si="3"/>
        <v>17500000</v>
      </c>
      <c r="S10" s="1002">
        <f t="shared" si="3"/>
        <v>17500000</v>
      </c>
      <c r="T10" s="968">
        <f t="shared" si="3"/>
        <v>14503499</v>
      </c>
      <c r="U10" s="1002">
        <f t="shared" si="3"/>
        <v>15084047</v>
      </c>
      <c r="V10" s="968">
        <f t="shared" si="3"/>
        <v>31586360</v>
      </c>
      <c r="W10" s="1002">
        <f t="shared" si="3"/>
        <v>38386793</v>
      </c>
      <c r="X10" s="968">
        <f>SUM(X5:X9)</f>
        <v>53233491</v>
      </c>
      <c r="Y10" s="1002">
        <f>SUM(Y5:Y9)</f>
        <v>64060312</v>
      </c>
      <c r="Z10" s="968">
        <f aca="true" t="shared" si="4" ref="Z10:AU10">SUM(Z5:Z8)</f>
        <v>7999809</v>
      </c>
      <c r="AA10" s="1002">
        <f t="shared" si="4"/>
        <v>8000314</v>
      </c>
      <c r="AB10" s="968">
        <f t="shared" si="4"/>
        <v>7551269.55</v>
      </c>
      <c r="AC10" s="1002">
        <f t="shared" si="4"/>
        <v>7552501.78</v>
      </c>
      <c r="AD10" s="968">
        <f t="shared" si="4"/>
        <v>15214435</v>
      </c>
      <c r="AE10" s="1002">
        <f t="shared" si="4"/>
        <v>18247164</v>
      </c>
      <c r="AF10" s="968">
        <f t="shared" si="4"/>
        <v>20238625</v>
      </c>
      <c r="AG10" s="1002">
        <f t="shared" si="4"/>
        <v>25093367</v>
      </c>
      <c r="AH10" s="968">
        <f t="shared" si="4"/>
        <v>21700085</v>
      </c>
      <c r="AI10" s="1002">
        <f t="shared" si="4"/>
        <v>22341665</v>
      </c>
      <c r="AJ10" s="968">
        <f t="shared" si="4"/>
        <v>15107423</v>
      </c>
      <c r="AK10" s="1002">
        <f t="shared" si="4"/>
        <v>15356063</v>
      </c>
      <c r="AL10" s="968">
        <f t="shared" si="4"/>
        <v>3542267</v>
      </c>
      <c r="AM10" s="1002">
        <f t="shared" si="4"/>
        <v>3593781</v>
      </c>
      <c r="AN10" s="968">
        <f t="shared" si="4"/>
        <v>47431009</v>
      </c>
      <c r="AO10" s="1002">
        <f t="shared" si="4"/>
        <v>55520790</v>
      </c>
      <c r="AP10" s="968">
        <f t="shared" si="4"/>
        <v>5049202</v>
      </c>
      <c r="AQ10" s="1002">
        <f t="shared" si="4"/>
        <v>5863979</v>
      </c>
      <c r="AR10" s="968">
        <f t="shared" si="4"/>
        <v>4200559</v>
      </c>
      <c r="AS10" s="1002">
        <f t="shared" si="4"/>
        <v>5275479</v>
      </c>
      <c r="AT10" s="968">
        <f t="shared" si="4"/>
        <v>19560592</v>
      </c>
      <c r="AU10" s="1002">
        <f t="shared" si="4"/>
        <v>19891778</v>
      </c>
      <c r="AV10" s="960">
        <f t="shared" si="0"/>
        <v>480213299.55</v>
      </c>
      <c r="AW10" s="449">
        <f t="shared" si="1"/>
        <v>529057665.78</v>
      </c>
      <c r="AX10" s="971">
        <f>SUM(AX5:AX9)</f>
        <v>5829429</v>
      </c>
      <c r="AY10" s="955">
        <f>SUM(AY5:AY9)</f>
        <v>6064528</v>
      </c>
      <c r="AZ10" s="962">
        <f aca="true" t="shared" si="5" ref="AZ10:AZ69">AV10+AX10</f>
        <v>486042728.55</v>
      </c>
      <c r="BA10" s="449">
        <f aca="true" t="shared" si="6" ref="BA10:BA69">AW10+AY10</f>
        <v>535122193.78</v>
      </c>
    </row>
    <row r="11" spans="1:53" ht="16.5">
      <c r="A11" s="956" t="s">
        <v>273</v>
      </c>
      <c r="B11" s="998"/>
      <c r="C11" s="999"/>
      <c r="D11" s="960"/>
      <c r="E11" s="959"/>
      <c r="F11" s="960"/>
      <c r="G11" s="959"/>
      <c r="H11" s="960"/>
      <c r="I11" s="959"/>
      <c r="J11" s="960"/>
      <c r="K11" s="959"/>
      <c r="L11" s="960"/>
      <c r="M11" s="959"/>
      <c r="N11" s="960"/>
      <c r="O11" s="959"/>
      <c r="P11" s="960"/>
      <c r="Q11" s="959"/>
      <c r="R11" s="960"/>
      <c r="S11" s="959"/>
      <c r="T11" s="960"/>
      <c r="U11" s="959"/>
      <c r="V11" s="960"/>
      <c r="W11" s="959"/>
      <c r="X11" s="960"/>
      <c r="Y11" s="959"/>
      <c r="Z11" s="960"/>
      <c r="AA11" s="959"/>
      <c r="AB11" s="960"/>
      <c r="AC11" s="959"/>
      <c r="AD11" s="960"/>
      <c r="AE11" s="959"/>
      <c r="AF11" s="960"/>
      <c r="AG11" s="959"/>
      <c r="AH11" s="960">
        <v>217717</v>
      </c>
      <c r="AI11" s="959">
        <v>170632</v>
      </c>
      <c r="AJ11" s="960"/>
      <c r="AK11" s="959"/>
      <c r="AL11" s="960"/>
      <c r="AM11" s="959"/>
      <c r="AN11" s="960"/>
      <c r="AO11" s="959"/>
      <c r="AP11" s="960"/>
      <c r="AQ11" s="959"/>
      <c r="AR11" s="960"/>
      <c r="AS11" s="959"/>
      <c r="AT11" s="960"/>
      <c r="AU11" s="959"/>
      <c r="AV11" s="960">
        <f t="shared" si="0"/>
        <v>217717</v>
      </c>
      <c r="AW11" s="449">
        <f t="shared" si="1"/>
        <v>170632</v>
      </c>
      <c r="AX11" s="960"/>
      <c r="AY11" s="959"/>
      <c r="AZ11" s="962">
        <f t="shared" si="5"/>
        <v>217717</v>
      </c>
      <c r="BA11" s="449">
        <f t="shared" si="6"/>
        <v>170632</v>
      </c>
    </row>
    <row r="12" spans="1:53" ht="16.5">
      <c r="A12" s="957" t="s">
        <v>274</v>
      </c>
      <c r="B12" s="998"/>
      <c r="C12" s="999"/>
      <c r="D12" s="960"/>
      <c r="E12" s="959"/>
      <c r="F12" s="960"/>
      <c r="G12" s="959"/>
      <c r="H12" s="960">
        <v>1362321</v>
      </c>
      <c r="I12" s="959">
        <v>6155138</v>
      </c>
      <c r="J12" s="960"/>
      <c r="K12" s="959"/>
      <c r="L12" s="960"/>
      <c r="M12" s="959"/>
      <c r="N12" s="960"/>
      <c r="O12" s="959"/>
      <c r="P12" s="960"/>
      <c r="Q12" s="959"/>
      <c r="R12" s="960"/>
      <c r="S12" s="959"/>
      <c r="T12" s="960"/>
      <c r="U12" s="959"/>
      <c r="V12" s="960"/>
      <c r="W12" s="959"/>
      <c r="X12" s="960"/>
      <c r="Y12" s="959"/>
      <c r="Z12" s="960"/>
      <c r="AA12" s="959"/>
      <c r="AB12" s="960"/>
      <c r="AC12" s="959"/>
      <c r="AD12" s="960"/>
      <c r="AE12" s="959"/>
      <c r="AF12" s="960"/>
      <c r="AG12" s="959"/>
      <c r="AH12" s="960"/>
      <c r="AI12" s="959"/>
      <c r="AJ12" s="960"/>
      <c r="AK12" s="959"/>
      <c r="AL12" s="960"/>
      <c r="AM12" s="959"/>
      <c r="AN12" s="960"/>
      <c r="AO12" s="959"/>
      <c r="AP12" s="960"/>
      <c r="AQ12" s="959"/>
      <c r="AR12" s="960"/>
      <c r="AS12" s="959"/>
      <c r="AT12" s="960"/>
      <c r="AU12" s="959"/>
      <c r="AV12" s="960">
        <f t="shared" si="0"/>
        <v>1362321</v>
      </c>
      <c r="AW12" s="449">
        <f t="shared" si="1"/>
        <v>6155138</v>
      </c>
      <c r="AX12" s="960"/>
      <c r="AY12" s="959"/>
      <c r="AZ12" s="962">
        <f t="shared" si="5"/>
        <v>1362321</v>
      </c>
      <c r="BA12" s="449">
        <f t="shared" si="6"/>
        <v>6155138</v>
      </c>
    </row>
    <row r="13" spans="1:53" ht="16.5">
      <c r="A13" s="956" t="s">
        <v>272</v>
      </c>
      <c r="B13" s="998">
        <v>-255135</v>
      </c>
      <c r="C13" s="999">
        <v>250035</v>
      </c>
      <c r="D13" s="960">
        <v>-12577</v>
      </c>
      <c r="E13" s="959">
        <v>24182</v>
      </c>
      <c r="F13" s="960">
        <v>548</v>
      </c>
      <c r="G13" s="959">
        <v>1487</v>
      </c>
      <c r="H13" s="960"/>
      <c r="I13" s="959"/>
      <c r="J13" s="960">
        <v>-121633</v>
      </c>
      <c r="K13" s="959">
        <v>143002</v>
      </c>
      <c r="L13" s="960"/>
      <c r="M13" s="959">
        <v>2860</v>
      </c>
      <c r="N13" s="960"/>
      <c r="O13" s="959">
        <v>16364</v>
      </c>
      <c r="P13" s="960">
        <v>-2784</v>
      </c>
      <c r="Q13" s="959">
        <v>14442</v>
      </c>
      <c r="R13" s="960">
        <v>-302608</v>
      </c>
      <c r="S13" s="959">
        <v>172972</v>
      </c>
      <c r="T13" s="960">
        <v>-63457</v>
      </c>
      <c r="U13" s="959">
        <v>51598</v>
      </c>
      <c r="V13" s="960">
        <v>536093</v>
      </c>
      <c r="W13" s="959">
        <v>3981437</v>
      </c>
      <c r="X13" s="960">
        <v>9712325</v>
      </c>
      <c r="Y13" s="959">
        <v>17866609</v>
      </c>
      <c r="Z13" s="960">
        <v>2639</v>
      </c>
      <c r="AA13" s="959">
        <v>8788</v>
      </c>
      <c r="AB13" s="960">
        <v>-2841</v>
      </c>
      <c r="AC13" s="959">
        <v>113524</v>
      </c>
      <c r="AD13" s="960">
        <v>360313</v>
      </c>
      <c r="AE13" s="959">
        <v>1820906</v>
      </c>
      <c r="AF13" s="960">
        <v>100573</v>
      </c>
      <c r="AG13" s="959">
        <v>3045254</v>
      </c>
      <c r="AH13" s="960"/>
      <c r="AI13" s="959">
        <v>25174</v>
      </c>
      <c r="AJ13" s="960">
        <v>225811</v>
      </c>
      <c r="AK13" s="959">
        <v>1272077</v>
      </c>
      <c r="AL13" s="960"/>
      <c r="AM13" s="959">
        <v>33142</v>
      </c>
      <c r="AN13" s="960">
        <v>3354011</v>
      </c>
      <c r="AO13" s="959">
        <v>7763774</v>
      </c>
      <c r="AP13" s="960">
        <v>15163</v>
      </c>
      <c r="AQ13" s="959">
        <v>375425</v>
      </c>
      <c r="AR13" s="960">
        <v>-39515</v>
      </c>
      <c r="AS13" s="959">
        <v>-24998</v>
      </c>
      <c r="AT13" s="960">
        <v>2111872</v>
      </c>
      <c r="AU13" s="959">
        <v>3949518</v>
      </c>
      <c r="AV13" s="960">
        <f t="shared" si="0"/>
        <v>15618798</v>
      </c>
      <c r="AW13" s="449">
        <f t="shared" si="1"/>
        <v>40907572</v>
      </c>
      <c r="AX13" s="960">
        <v>1039715416</v>
      </c>
      <c r="AY13" s="959">
        <v>1949976387</v>
      </c>
      <c r="AZ13" s="962">
        <f t="shared" si="5"/>
        <v>1055334214</v>
      </c>
      <c r="BA13" s="449">
        <f t="shared" si="6"/>
        <v>1990883959</v>
      </c>
    </row>
    <row r="14" spans="1:53" ht="16.5">
      <c r="A14" s="956" t="s">
        <v>275</v>
      </c>
      <c r="B14" s="998"/>
      <c r="C14" s="999"/>
      <c r="D14" s="960"/>
      <c r="E14" s="959"/>
      <c r="F14" s="960"/>
      <c r="G14" s="959"/>
      <c r="H14" s="960"/>
      <c r="I14" s="959"/>
      <c r="J14" s="960"/>
      <c r="K14" s="959"/>
      <c r="L14" s="960"/>
      <c r="M14" s="959"/>
      <c r="N14" s="960"/>
      <c r="O14" s="959"/>
      <c r="P14" s="960"/>
      <c r="Q14" s="959"/>
      <c r="R14" s="960"/>
      <c r="S14" s="959"/>
      <c r="T14" s="960"/>
      <c r="U14" s="959"/>
      <c r="V14" s="960"/>
      <c r="W14" s="959"/>
      <c r="X14" s="960">
        <v>577076</v>
      </c>
      <c r="Y14" s="959">
        <v>603548</v>
      </c>
      <c r="Z14" s="960"/>
      <c r="AA14" s="959"/>
      <c r="AB14" s="960"/>
      <c r="AC14" s="959"/>
      <c r="AD14" s="960">
        <v>203345</v>
      </c>
      <c r="AE14" s="959">
        <v>203345</v>
      </c>
      <c r="AF14" s="960"/>
      <c r="AG14" s="959"/>
      <c r="AH14" s="960"/>
      <c r="AI14" s="959"/>
      <c r="AJ14" s="960"/>
      <c r="AK14" s="959"/>
      <c r="AL14" s="960"/>
      <c r="AM14" s="959"/>
      <c r="AN14" s="960"/>
      <c r="AO14" s="959"/>
      <c r="AP14" s="960"/>
      <c r="AQ14" s="959"/>
      <c r="AR14" s="960"/>
      <c r="AS14" s="959"/>
      <c r="AT14" s="960"/>
      <c r="AU14" s="959"/>
      <c r="AV14" s="960">
        <f t="shared" si="0"/>
        <v>780421</v>
      </c>
      <c r="AW14" s="449">
        <f t="shared" si="1"/>
        <v>806893</v>
      </c>
      <c r="AX14" s="960"/>
      <c r="AY14" s="959"/>
      <c r="AZ14" s="962">
        <f t="shared" si="5"/>
        <v>780421</v>
      </c>
      <c r="BA14" s="449">
        <f t="shared" si="6"/>
        <v>806893</v>
      </c>
    </row>
    <row r="15" spans="1:53" ht="16.5">
      <c r="A15" s="956" t="s">
        <v>315</v>
      </c>
      <c r="B15" s="998"/>
      <c r="C15" s="999"/>
      <c r="D15" s="960"/>
      <c r="E15" s="959"/>
      <c r="F15" s="960"/>
      <c r="G15" s="959"/>
      <c r="H15" s="960">
        <v>169313558</v>
      </c>
      <c r="I15" s="959">
        <v>191489150</v>
      </c>
      <c r="J15" s="960"/>
      <c r="K15" s="959"/>
      <c r="L15" s="960"/>
      <c r="M15" s="959"/>
      <c r="N15" s="960"/>
      <c r="O15" s="959"/>
      <c r="P15" s="960"/>
      <c r="Q15" s="959"/>
      <c r="R15" s="960"/>
      <c r="S15" s="959"/>
      <c r="T15" s="960"/>
      <c r="U15" s="959"/>
      <c r="V15" s="960"/>
      <c r="W15" s="959"/>
      <c r="X15" s="960">
        <v>251695317</v>
      </c>
      <c r="Y15" s="959">
        <v>202547867</v>
      </c>
      <c r="Z15" s="960"/>
      <c r="AA15" s="959"/>
      <c r="AB15" s="960"/>
      <c r="AC15" s="959"/>
      <c r="AD15" s="960"/>
      <c r="AE15" s="959"/>
      <c r="AF15" s="960"/>
      <c r="AG15" s="959"/>
      <c r="AH15" s="960"/>
      <c r="AI15" s="959"/>
      <c r="AJ15" s="960"/>
      <c r="AK15" s="959"/>
      <c r="AL15" s="960"/>
      <c r="AM15" s="959"/>
      <c r="AN15" s="960"/>
      <c r="AO15" s="959"/>
      <c r="AP15" s="960"/>
      <c r="AQ15" s="959"/>
      <c r="AR15" s="960"/>
      <c r="AS15" s="959"/>
      <c r="AT15" s="960"/>
      <c r="AU15" s="959"/>
      <c r="AV15" s="960">
        <f t="shared" si="0"/>
        <v>421008875</v>
      </c>
      <c r="AW15" s="449">
        <f t="shared" si="1"/>
        <v>394037017</v>
      </c>
      <c r="AX15" s="960"/>
      <c r="AY15" s="959"/>
      <c r="AZ15" s="962">
        <f t="shared" si="5"/>
        <v>421008875</v>
      </c>
      <c r="BA15" s="449">
        <f t="shared" si="6"/>
        <v>394037017</v>
      </c>
    </row>
    <row r="16" spans="1:53" ht="16.5">
      <c r="A16" s="957" t="s">
        <v>276</v>
      </c>
      <c r="B16" s="998">
        <v>59643726</v>
      </c>
      <c r="C16" s="999">
        <v>84602624</v>
      </c>
      <c r="D16" s="960">
        <v>6023519</v>
      </c>
      <c r="E16" s="959">
        <v>8068913</v>
      </c>
      <c r="F16" s="960">
        <f>489501+13220+51297+13764+26188497+1584392+1583235+177268+278294+311083+44910</f>
        <v>30735461</v>
      </c>
      <c r="G16" s="959">
        <f>301651+12079+66179+13495+32513031+1500801+1133469+644890+302056+193695+64097</f>
        <v>36745443</v>
      </c>
      <c r="H16" s="960"/>
      <c r="I16" s="959"/>
      <c r="J16" s="960">
        <v>14216411</v>
      </c>
      <c r="K16" s="959">
        <v>22276591</v>
      </c>
      <c r="L16" s="960"/>
      <c r="M16" s="959"/>
      <c r="N16" s="960">
        <v>10534858</v>
      </c>
      <c r="O16" s="959">
        <v>16271595</v>
      </c>
      <c r="P16" s="960">
        <v>3790193</v>
      </c>
      <c r="Q16" s="959">
        <v>7051095</v>
      </c>
      <c r="R16" s="960">
        <f>37832512+13658753+323502+9547621+4456196</f>
        <v>65818584</v>
      </c>
      <c r="S16" s="959">
        <f>46770505+16389663+400497+8774608+7382046</f>
        <v>79717319</v>
      </c>
      <c r="T16" s="960">
        <v>17675014</v>
      </c>
      <c r="U16" s="959">
        <v>20531288</v>
      </c>
      <c r="V16" s="960"/>
      <c r="W16" s="959"/>
      <c r="X16" s="960">
        <v>955495047</v>
      </c>
      <c r="Y16" s="959">
        <v>1130470597</v>
      </c>
      <c r="Z16" s="960">
        <v>27970448</v>
      </c>
      <c r="AA16" s="959">
        <v>36288477</v>
      </c>
      <c r="AB16" s="960">
        <v>51856794</v>
      </c>
      <c r="AC16" s="959">
        <v>67420604</v>
      </c>
      <c r="AD16" s="960"/>
      <c r="AE16" s="959"/>
      <c r="AF16" s="960">
        <v>190417763</v>
      </c>
      <c r="AG16" s="959">
        <v>245295876</v>
      </c>
      <c r="AH16" s="960">
        <v>56862658</v>
      </c>
      <c r="AI16" s="959">
        <v>74887023</v>
      </c>
      <c r="AJ16" s="960">
        <v>68380716</v>
      </c>
      <c r="AK16" s="959">
        <v>86007412</v>
      </c>
      <c r="AL16" s="960">
        <v>6690745</v>
      </c>
      <c r="AM16" s="959">
        <v>7735836</v>
      </c>
      <c r="AN16" s="960">
        <v>396341700</v>
      </c>
      <c r="AO16" s="959">
        <v>483237575</v>
      </c>
      <c r="AP16" s="960">
        <v>12417401</v>
      </c>
      <c r="AQ16" s="959">
        <v>17482382</v>
      </c>
      <c r="AR16" s="960">
        <v>22859329</v>
      </c>
      <c r="AS16" s="959">
        <v>30134420</v>
      </c>
      <c r="AT16" s="960">
        <v>90334007</v>
      </c>
      <c r="AU16" s="959">
        <v>107705087</v>
      </c>
      <c r="AV16" s="960">
        <f t="shared" si="0"/>
        <v>2088064374</v>
      </c>
      <c r="AW16" s="449">
        <f t="shared" si="1"/>
        <v>2561930157</v>
      </c>
      <c r="AX16" s="960">
        <v>19986416458</v>
      </c>
      <c r="AY16" s="959">
        <v>22632890930</v>
      </c>
      <c r="AZ16" s="962">
        <f t="shared" si="5"/>
        <v>22074480832</v>
      </c>
      <c r="BA16" s="449">
        <f t="shared" si="6"/>
        <v>25194821087</v>
      </c>
    </row>
    <row r="17" spans="1:53" ht="16.5">
      <c r="A17" s="956" t="s">
        <v>277</v>
      </c>
      <c r="B17" s="998"/>
      <c r="C17" s="999"/>
      <c r="D17" s="960"/>
      <c r="E17" s="959"/>
      <c r="F17" s="960"/>
      <c r="G17" s="959"/>
      <c r="H17" s="960"/>
      <c r="I17" s="959"/>
      <c r="J17" s="960"/>
      <c r="K17" s="959"/>
      <c r="L17" s="960"/>
      <c r="M17" s="959"/>
      <c r="N17" s="960"/>
      <c r="O17" s="959"/>
      <c r="P17" s="960"/>
      <c r="Q17" s="959"/>
      <c r="R17" s="960"/>
      <c r="S17" s="959"/>
      <c r="T17" s="960"/>
      <c r="U17" s="959"/>
      <c r="V17" s="960"/>
      <c r="W17" s="959"/>
      <c r="X17" s="960"/>
      <c r="Y17" s="959"/>
      <c r="Z17" s="960"/>
      <c r="AA17" s="959"/>
      <c r="AB17" s="960"/>
      <c r="AC17" s="959"/>
      <c r="AD17" s="960"/>
      <c r="AE17" s="959"/>
      <c r="AF17" s="960"/>
      <c r="AG17" s="959"/>
      <c r="AH17" s="960"/>
      <c r="AI17" s="959"/>
      <c r="AJ17" s="960"/>
      <c r="AK17" s="959"/>
      <c r="AL17" s="960"/>
      <c r="AM17" s="959"/>
      <c r="AN17" s="960"/>
      <c r="AO17" s="959"/>
      <c r="AP17" s="960"/>
      <c r="AQ17" s="959"/>
      <c r="AR17" s="960"/>
      <c r="AS17" s="959"/>
      <c r="AT17" s="960"/>
      <c r="AU17" s="959"/>
      <c r="AV17" s="960">
        <f t="shared" si="0"/>
        <v>0</v>
      </c>
      <c r="AW17" s="449">
        <f t="shared" si="1"/>
        <v>0</v>
      </c>
      <c r="AX17" s="960"/>
      <c r="AY17" s="959"/>
      <c r="AZ17" s="962">
        <f t="shared" si="5"/>
        <v>0</v>
      </c>
      <c r="BA17" s="449">
        <f t="shared" si="6"/>
        <v>0</v>
      </c>
    </row>
    <row r="18" spans="1:53" ht="16.5">
      <c r="A18" s="957" t="s">
        <v>276</v>
      </c>
      <c r="B18" s="998"/>
      <c r="C18" s="999"/>
      <c r="D18" s="960"/>
      <c r="E18" s="959"/>
      <c r="F18" s="960"/>
      <c r="G18" s="959"/>
      <c r="H18" s="960"/>
      <c r="I18" s="959"/>
      <c r="J18" s="960"/>
      <c r="K18" s="959"/>
      <c r="L18" s="960"/>
      <c r="M18" s="959"/>
      <c r="N18" s="960"/>
      <c r="O18" s="959"/>
      <c r="P18" s="960"/>
      <c r="Q18" s="959"/>
      <c r="R18" s="960"/>
      <c r="S18" s="959"/>
      <c r="T18" s="960"/>
      <c r="U18" s="959"/>
      <c r="V18" s="960">
        <v>244006434</v>
      </c>
      <c r="W18" s="959">
        <v>323819326</v>
      </c>
      <c r="X18" s="960"/>
      <c r="Y18" s="959"/>
      <c r="Z18" s="960"/>
      <c r="AA18" s="959"/>
      <c r="AB18" s="960"/>
      <c r="AC18" s="959"/>
      <c r="AD18" s="960">
        <v>53151555</v>
      </c>
      <c r="AE18" s="959">
        <v>70353320</v>
      </c>
      <c r="AF18" s="960"/>
      <c r="AG18" s="959"/>
      <c r="AH18" s="960"/>
      <c r="AI18" s="959"/>
      <c r="AJ18" s="960"/>
      <c r="AK18" s="959"/>
      <c r="AL18" s="960"/>
      <c r="AM18" s="959"/>
      <c r="AN18" s="960"/>
      <c r="AO18" s="959"/>
      <c r="AP18" s="960"/>
      <c r="AQ18" s="959"/>
      <c r="AR18" s="960"/>
      <c r="AS18" s="959"/>
      <c r="AT18" s="960"/>
      <c r="AU18" s="959"/>
      <c r="AV18" s="960">
        <f t="shared" si="0"/>
        <v>297157989</v>
      </c>
      <c r="AW18" s="449">
        <f t="shared" si="1"/>
        <v>394172646</v>
      </c>
      <c r="AX18" s="960"/>
      <c r="AY18" s="959"/>
      <c r="AZ18" s="962">
        <f t="shared" si="5"/>
        <v>297157989</v>
      </c>
      <c r="BA18" s="449">
        <f t="shared" si="6"/>
        <v>394172646</v>
      </c>
    </row>
    <row r="19" spans="1:53" ht="16.5">
      <c r="A19" s="956" t="s">
        <v>213</v>
      </c>
      <c r="B19" s="998"/>
      <c r="C19" s="999"/>
      <c r="D19" s="960"/>
      <c r="E19" s="959"/>
      <c r="F19" s="960"/>
      <c r="G19" s="959"/>
      <c r="H19" s="960"/>
      <c r="I19" s="959"/>
      <c r="J19" s="960"/>
      <c r="K19" s="959"/>
      <c r="L19" s="960">
        <f>1037182+2985</f>
        <v>1040167</v>
      </c>
      <c r="M19" s="959">
        <f>1030626+7905</f>
        <v>1038531</v>
      </c>
      <c r="N19" s="960"/>
      <c r="O19" s="959"/>
      <c r="P19" s="960"/>
      <c r="Q19" s="959"/>
      <c r="R19" s="960"/>
      <c r="S19" s="959"/>
      <c r="T19" s="960"/>
      <c r="U19" s="959"/>
      <c r="V19" s="960"/>
      <c r="W19" s="959"/>
      <c r="X19" s="960"/>
      <c r="Y19" s="959"/>
      <c r="Z19" s="960"/>
      <c r="AA19" s="959"/>
      <c r="AB19" s="960"/>
      <c r="AC19" s="959"/>
      <c r="AD19" s="960"/>
      <c r="AE19" s="959"/>
      <c r="AF19" s="960"/>
      <c r="AG19" s="959"/>
      <c r="AH19" s="960"/>
      <c r="AI19" s="959"/>
      <c r="AJ19" s="960"/>
      <c r="AK19" s="959"/>
      <c r="AL19" s="960"/>
      <c r="AM19" s="959"/>
      <c r="AN19" s="960"/>
      <c r="AO19" s="959"/>
      <c r="AP19" s="960"/>
      <c r="AQ19" s="959"/>
      <c r="AR19" s="960"/>
      <c r="AS19" s="959"/>
      <c r="AT19" s="960"/>
      <c r="AU19" s="959"/>
      <c r="AV19" s="960">
        <f t="shared" si="0"/>
        <v>1040167</v>
      </c>
      <c r="AW19" s="449">
        <f t="shared" si="1"/>
        <v>1038531</v>
      </c>
      <c r="AX19" s="960"/>
      <c r="AY19" s="959"/>
      <c r="AZ19" s="962">
        <f t="shared" si="5"/>
        <v>1040167</v>
      </c>
      <c r="BA19" s="449">
        <f t="shared" si="6"/>
        <v>1038531</v>
      </c>
    </row>
    <row r="20" spans="1:53" ht="16.5">
      <c r="A20" s="956" t="s">
        <v>278</v>
      </c>
      <c r="B20" s="998"/>
      <c r="C20" s="999"/>
      <c r="D20" s="960"/>
      <c r="E20" s="959"/>
      <c r="F20" s="960"/>
      <c r="G20" s="959"/>
      <c r="H20" s="960"/>
      <c r="I20" s="959"/>
      <c r="J20" s="960"/>
      <c r="K20" s="959"/>
      <c r="L20" s="960">
        <f>2337699+13883878+523591+1358401+1974472+584564</f>
        <v>20662605</v>
      </c>
      <c r="M20" s="959">
        <f>3433327+16797482+444355+1779311+3695272+656659</f>
        <v>26806406</v>
      </c>
      <c r="N20" s="960"/>
      <c r="O20" s="959"/>
      <c r="P20" s="960"/>
      <c r="Q20" s="959"/>
      <c r="R20" s="960"/>
      <c r="S20" s="959"/>
      <c r="T20" s="960"/>
      <c r="U20" s="959"/>
      <c r="V20" s="960"/>
      <c r="W20" s="959"/>
      <c r="X20" s="960"/>
      <c r="Y20" s="959"/>
      <c r="Z20" s="960"/>
      <c r="AA20" s="959"/>
      <c r="AB20" s="960"/>
      <c r="AC20" s="959"/>
      <c r="AD20" s="960"/>
      <c r="AE20" s="959"/>
      <c r="AF20" s="960"/>
      <c r="AG20" s="959"/>
      <c r="AH20" s="960"/>
      <c r="AI20" s="959"/>
      <c r="AJ20" s="960"/>
      <c r="AK20" s="959"/>
      <c r="AL20" s="960"/>
      <c r="AM20" s="959"/>
      <c r="AN20" s="960"/>
      <c r="AO20" s="959"/>
      <c r="AP20" s="960"/>
      <c r="AQ20" s="959"/>
      <c r="AR20" s="960"/>
      <c r="AS20" s="959"/>
      <c r="AT20" s="960"/>
      <c r="AU20" s="959"/>
      <c r="AV20" s="960">
        <f t="shared" si="0"/>
        <v>20662605</v>
      </c>
      <c r="AW20" s="449">
        <f t="shared" si="1"/>
        <v>26806406</v>
      </c>
      <c r="AX20" s="960"/>
      <c r="AY20" s="959"/>
      <c r="AZ20" s="962">
        <f t="shared" si="5"/>
        <v>20662605</v>
      </c>
      <c r="BA20" s="449">
        <f t="shared" si="6"/>
        <v>26806406</v>
      </c>
    </row>
    <row r="21" spans="1:53" ht="16.5">
      <c r="A21" s="957" t="s">
        <v>279</v>
      </c>
      <c r="B21" s="998"/>
      <c r="C21" s="999"/>
      <c r="D21" s="960"/>
      <c r="E21" s="959"/>
      <c r="F21" s="960"/>
      <c r="G21" s="959"/>
      <c r="H21" s="960"/>
      <c r="I21" s="959"/>
      <c r="J21" s="960"/>
      <c r="K21" s="959"/>
      <c r="L21" s="960"/>
      <c r="M21" s="959"/>
      <c r="N21" s="960"/>
      <c r="O21" s="959"/>
      <c r="P21" s="960"/>
      <c r="Q21" s="959"/>
      <c r="R21" s="960"/>
      <c r="S21" s="959"/>
      <c r="T21" s="960"/>
      <c r="U21" s="959"/>
      <c r="V21" s="960"/>
      <c r="W21" s="959"/>
      <c r="X21" s="960"/>
      <c r="Y21" s="959"/>
      <c r="Z21" s="960"/>
      <c r="AA21" s="959"/>
      <c r="AB21" s="960"/>
      <c r="AC21" s="959"/>
      <c r="AD21" s="960">
        <f>1578986</f>
        <v>1578986</v>
      </c>
      <c r="AE21" s="959">
        <v>1787790</v>
      </c>
      <c r="AF21" s="960"/>
      <c r="AG21" s="959"/>
      <c r="AH21" s="960"/>
      <c r="AI21" s="959"/>
      <c r="AJ21" s="960"/>
      <c r="AK21" s="959"/>
      <c r="AL21" s="960"/>
      <c r="AM21" s="959"/>
      <c r="AN21" s="960"/>
      <c r="AO21" s="959"/>
      <c r="AP21" s="960"/>
      <c r="AQ21" s="959"/>
      <c r="AR21" s="960"/>
      <c r="AS21" s="959"/>
      <c r="AT21" s="960"/>
      <c r="AU21" s="959"/>
      <c r="AV21" s="960">
        <f t="shared" si="0"/>
        <v>1578986</v>
      </c>
      <c r="AW21" s="449">
        <f t="shared" si="1"/>
        <v>1787790</v>
      </c>
      <c r="AX21" s="960">
        <v>84376721</v>
      </c>
      <c r="AY21" s="959">
        <v>96467851</v>
      </c>
      <c r="AZ21" s="962">
        <f t="shared" si="5"/>
        <v>85955707</v>
      </c>
      <c r="BA21" s="449">
        <f t="shared" si="6"/>
        <v>98255641</v>
      </c>
    </row>
    <row r="22" spans="1:53" ht="16.5">
      <c r="A22" s="956" t="s">
        <v>280</v>
      </c>
      <c r="B22" s="998"/>
      <c r="C22" s="999"/>
      <c r="D22" s="960">
        <v>9754615</v>
      </c>
      <c r="E22" s="959">
        <v>8091175</v>
      </c>
      <c r="F22" s="960"/>
      <c r="G22" s="959"/>
      <c r="H22" s="960"/>
      <c r="I22" s="959"/>
      <c r="J22" s="960"/>
      <c r="K22" s="959"/>
      <c r="L22" s="960"/>
      <c r="M22" s="959"/>
      <c r="N22" s="960"/>
      <c r="O22" s="959"/>
      <c r="P22" s="960"/>
      <c r="Q22" s="959"/>
      <c r="R22" s="960"/>
      <c r="S22" s="959"/>
      <c r="T22" s="960"/>
      <c r="U22" s="959"/>
      <c r="V22" s="960"/>
      <c r="W22" s="959"/>
      <c r="X22" s="960"/>
      <c r="Y22" s="959"/>
      <c r="Z22" s="960"/>
      <c r="AA22" s="959"/>
      <c r="AB22" s="960"/>
      <c r="AC22" s="959"/>
      <c r="AD22" s="960"/>
      <c r="AE22" s="959"/>
      <c r="AF22" s="960"/>
      <c r="AG22" s="959"/>
      <c r="AH22" s="960"/>
      <c r="AI22" s="959"/>
      <c r="AJ22" s="960"/>
      <c r="AK22" s="959"/>
      <c r="AL22" s="960"/>
      <c r="AM22" s="959"/>
      <c r="AN22" s="960"/>
      <c r="AO22" s="959"/>
      <c r="AP22" s="960"/>
      <c r="AQ22" s="959"/>
      <c r="AR22" s="960"/>
      <c r="AS22" s="959"/>
      <c r="AT22" s="960"/>
      <c r="AU22" s="959"/>
      <c r="AV22" s="960">
        <f t="shared" si="0"/>
        <v>9754615</v>
      </c>
      <c r="AW22" s="449">
        <f t="shared" si="1"/>
        <v>8091175</v>
      </c>
      <c r="AX22" s="960"/>
      <c r="AY22" s="959"/>
      <c r="AZ22" s="962">
        <f t="shared" si="5"/>
        <v>9754615</v>
      </c>
      <c r="BA22" s="449">
        <f t="shared" si="6"/>
        <v>8091175</v>
      </c>
    </row>
    <row r="23" spans="1:53" ht="16.5">
      <c r="A23" s="956" t="s">
        <v>281</v>
      </c>
      <c r="B23" s="998"/>
      <c r="C23" s="999"/>
      <c r="D23" s="960">
        <v>-785322</v>
      </c>
      <c r="E23" s="959">
        <v>560469</v>
      </c>
      <c r="F23" s="960"/>
      <c r="G23" s="959"/>
      <c r="H23" s="960"/>
      <c r="I23" s="959"/>
      <c r="J23" s="960"/>
      <c r="K23" s="959"/>
      <c r="L23" s="960"/>
      <c r="M23" s="959"/>
      <c r="N23" s="960"/>
      <c r="O23" s="959"/>
      <c r="P23" s="960"/>
      <c r="Q23" s="959"/>
      <c r="R23" s="960"/>
      <c r="S23" s="959"/>
      <c r="T23" s="960"/>
      <c r="U23" s="959"/>
      <c r="V23" s="960"/>
      <c r="W23" s="959"/>
      <c r="X23" s="960"/>
      <c r="Y23" s="959"/>
      <c r="Z23" s="960"/>
      <c r="AA23" s="959"/>
      <c r="AB23" s="960"/>
      <c r="AC23" s="959"/>
      <c r="AD23" s="960"/>
      <c r="AE23" s="959"/>
      <c r="AF23" s="960"/>
      <c r="AG23" s="959"/>
      <c r="AH23" s="960"/>
      <c r="AI23" s="959"/>
      <c r="AJ23" s="960"/>
      <c r="AK23" s="959"/>
      <c r="AL23" s="960"/>
      <c r="AM23" s="959"/>
      <c r="AN23" s="960"/>
      <c r="AO23" s="959"/>
      <c r="AP23" s="960"/>
      <c r="AQ23" s="959"/>
      <c r="AR23" s="960"/>
      <c r="AS23" s="959"/>
      <c r="AT23" s="960"/>
      <c r="AU23" s="959"/>
      <c r="AV23" s="960">
        <f t="shared" si="0"/>
        <v>-785322</v>
      </c>
      <c r="AW23" s="449">
        <f t="shared" si="1"/>
        <v>560469</v>
      </c>
      <c r="AX23" s="960"/>
      <c r="AY23" s="959"/>
      <c r="AZ23" s="962">
        <f t="shared" si="5"/>
        <v>-785322</v>
      </c>
      <c r="BA23" s="449">
        <f t="shared" si="6"/>
        <v>560469</v>
      </c>
    </row>
    <row r="24" spans="1:53" ht="16.5">
      <c r="A24" s="957" t="s">
        <v>282</v>
      </c>
      <c r="B24" s="998">
        <v>219164302</v>
      </c>
      <c r="C24" s="999">
        <v>220893461</v>
      </c>
      <c r="D24" s="960">
        <v>8969293</v>
      </c>
      <c r="E24" s="959">
        <v>8651644</v>
      </c>
      <c r="F24" s="960">
        <f>579735+59446+35757522+5520656+2512333</f>
        <v>44429692</v>
      </c>
      <c r="G24" s="959">
        <f>562975+54615+35155216+5107322+3094121</f>
        <v>43974249</v>
      </c>
      <c r="H24" s="960">
        <v>173248416</v>
      </c>
      <c r="I24" s="959">
        <v>174246628</v>
      </c>
      <c r="J24" s="960">
        <v>12742039</v>
      </c>
      <c r="K24" s="959">
        <v>12116429</v>
      </c>
      <c r="L24" s="960">
        <f>55132494+1084949</f>
        <v>56217443</v>
      </c>
      <c r="M24" s="959">
        <f>60333523+1005175</f>
        <v>61338698</v>
      </c>
      <c r="N24" s="960">
        <v>2231835</v>
      </c>
      <c r="O24" s="959">
        <v>2496253</v>
      </c>
      <c r="P24" s="960">
        <v>1059075</v>
      </c>
      <c r="Q24" s="959">
        <v>1923461</v>
      </c>
      <c r="R24" s="960">
        <v>19873307</v>
      </c>
      <c r="S24" s="959">
        <v>19443013</v>
      </c>
      <c r="T24" s="960">
        <v>6375614</v>
      </c>
      <c r="U24" s="959">
        <v>6006520</v>
      </c>
      <c r="V24" s="960">
        <v>385599845</v>
      </c>
      <c r="W24" s="959">
        <v>430289670</v>
      </c>
      <c r="X24" s="960">
        <v>719902870</v>
      </c>
      <c r="Y24" s="959">
        <v>839364705</v>
      </c>
      <c r="Z24" s="960">
        <v>16054338</v>
      </c>
      <c r="AA24" s="959">
        <v>19012923</v>
      </c>
      <c r="AB24" s="960">
        <v>29180655</v>
      </c>
      <c r="AC24" s="959">
        <v>31542274</v>
      </c>
      <c r="AD24" s="960">
        <v>94946405</v>
      </c>
      <c r="AE24" s="959">
        <v>113907855</v>
      </c>
      <c r="AF24" s="960">
        <v>130369954</v>
      </c>
      <c r="AG24" s="959">
        <v>152204164</v>
      </c>
      <c r="AH24" s="960">
        <f>368348+61580967</f>
        <v>61949315</v>
      </c>
      <c r="AI24" s="959">
        <f>424138+61802491</f>
        <v>62226629</v>
      </c>
      <c r="AJ24" s="960">
        <v>70531794</v>
      </c>
      <c r="AK24" s="959">
        <v>69499989</v>
      </c>
      <c r="AL24" s="960">
        <v>1853142</v>
      </c>
      <c r="AM24" s="959">
        <v>1445877</v>
      </c>
      <c r="AN24" s="960">
        <v>320989070</v>
      </c>
      <c r="AO24" s="959">
        <v>388559117</v>
      </c>
      <c r="AP24" s="960">
        <v>8288255</v>
      </c>
      <c r="AQ24" s="959">
        <v>7377123</v>
      </c>
      <c r="AR24" s="960">
        <v>22564925</v>
      </c>
      <c r="AS24" s="959">
        <v>19801270</v>
      </c>
      <c r="AT24" s="960">
        <v>79009206</v>
      </c>
      <c r="AU24" s="959">
        <v>83487855</v>
      </c>
      <c r="AV24" s="960">
        <f t="shared" si="0"/>
        <v>2485550790</v>
      </c>
      <c r="AW24" s="449">
        <f t="shared" si="1"/>
        <v>2769809807</v>
      </c>
      <c r="AX24" s="960">
        <v>589836213</v>
      </c>
      <c r="AY24" s="959">
        <v>605123325</v>
      </c>
      <c r="AZ24" s="962">
        <f t="shared" si="5"/>
        <v>3075387003</v>
      </c>
      <c r="BA24" s="449">
        <f t="shared" si="6"/>
        <v>3374933132</v>
      </c>
    </row>
    <row r="25" spans="1:53" ht="16.5">
      <c r="A25" s="956" t="s">
        <v>283</v>
      </c>
      <c r="B25" s="998">
        <v>6536465</v>
      </c>
      <c r="C25" s="999">
        <v>21604244</v>
      </c>
      <c r="D25" s="960"/>
      <c r="E25" s="959"/>
      <c r="F25" s="960"/>
      <c r="G25" s="959"/>
      <c r="H25" s="960">
        <v>18287262</v>
      </c>
      <c r="I25" s="959">
        <v>29750026</v>
      </c>
      <c r="J25" s="960"/>
      <c r="K25" s="959"/>
      <c r="L25" s="960">
        <v>6299774</v>
      </c>
      <c r="M25" s="959">
        <v>11241515</v>
      </c>
      <c r="N25" s="960"/>
      <c r="O25" s="959"/>
      <c r="P25" s="960">
        <v>6705</v>
      </c>
      <c r="Q25" s="959">
        <v>91015</v>
      </c>
      <c r="R25" s="960">
        <v>861935</v>
      </c>
      <c r="S25" s="959">
        <v>2083779</v>
      </c>
      <c r="T25" s="960"/>
      <c r="U25" s="959"/>
      <c r="V25" s="960">
        <v>41938350</v>
      </c>
      <c r="W25" s="959">
        <v>77774939</v>
      </c>
      <c r="X25" s="960"/>
      <c r="Y25" s="959"/>
      <c r="Z25" s="960"/>
      <c r="AA25" s="959"/>
      <c r="AB25" s="960"/>
      <c r="AC25" s="959"/>
      <c r="AD25" s="960"/>
      <c r="AE25" s="959"/>
      <c r="AF25" s="960"/>
      <c r="AG25" s="959"/>
      <c r="AH25" s="960"/>
      <c r="AI25" s="959"/>
      <c r="AJ25" s="960"/>
      <c r="AK25" s="959"/>
      <c r="AL25" s="960"/>
      <c r="AM25" s="959"/>
      <c r="AN25" s="960">
        <v>22701013</v>
      </c>
      <c r="AO25" s="959">
        <v>37901614</v>
      </c>
      <c r="AP25" s="960"/>
      <c r="AQ25" s="959"/>
      <c r="AR25" s="960">
        <v>3737921</v>
      </c>
      <c r="AS25" s="959">
        <v>4804700</v>
      </c>
      <c r="AT25" s="960"/>
      <c r="AU25" s="959"/>
      <c r="AV25" s="960">
        <f t="shared" si="0"/>
        <v>100369425</v>
      </c>
      <c r="AW25" s="449">
        <f t="shared" si="1"/>
        <v>185251832</v>
      </c>
      <c r="AX25" s="960"/>
      <c r="AY25" s="959"/>
      <c r="AZ25" s="962">
        <f t="shared" si="5"/>
        <v>100369425</v>
      </c>
      <c r="BA25" s="449">
        <f t="shared" si="6"/>
        <v>185251832</v>
      </c>
    </row>
    <row r="26" spans="1:53" ht="16.5">
      <c r="A26" s="956" t="s">
        <v>284</v>
      </c>
      <c r="B26" s="998"/>
      <c r="C26" s="999"/>
      <c r="D26" s="960"/>
      <c r="E26" s="959"/>
      <c r="F26" s="960"/>
      <c r="G26" s="959"/>
      <c r="H26" s="960"/>
      <c r="I26" s="959"/>
      <c r="J26" s="960"/>
      <c r="K26" s="959"/>
      <c r="L26" s="960"/>
      <c r="M26" s="959"/>
      <c r="N26" s="960"/>
      <c r="O26" s="959"/>
      <c r="P26" s="960"/>
      <c r="Q26" s="959"/>
      <c r="R26" s="960">
        <v>97138</v>
      </c>
      <c r="S26" s="959">
        <v>108292</v>
      </c>
      <c r="T26" s="960"/>
      <c r="U26" s="959"/>
      <c r="V26" s="960"/>
      <c r="W26" s="959"/>
      <c r="X26" s="960"/>
      <c r="Y26" s="959"/>
      <c r="Z26" s="960"/>
      <c r="AA26" s="959"/>
      <c r="AB26" s="960"/>
      <c r="AC26" s="959"/>
      <c r="AD26" s="960"/>
      <c r="AE26" s="959"/>
      <c r="AF26" s="960"/>
      <c r="AG26" s="959"/>
      <c r="AH26" s="960"/>
      <c r="AI26" s="959"/>
      <c r="AJ26" s="960"/>
      <c r="AK26" s="959"/>
      <c r="AL26" s="960"/>
      <c r="AM26" s="959"/>
      <c r="AN26" s="960"/>
      <c r="AO26" s="959"/>
      <c r="AP26" s="960"/>
      <c r="AQ26" s="959"/>
      <c r="AR26" s="960"/>
      <c r="AS26" s="959"/>
      <c r="AT26" s="960">
        <v>9768</v>
      </c>
      <c r="AU26" s="959">
        <v>188697</v>
      </c>
      <c r="AV26" s="960">
        <f t="shared" si="0"/>
        <v>106906</v>
      </c>
      <c r="AW26" s="449">
        <f t="shared" si="1"/>
        <v>296989</v>
      </c>
      <c r="AX26" s="960"/>
      <c r="AY26" s="959"/>
      <c r="AZ26" s="962">
        <f t="shared" si="5"/>
        <v>106906</v>
      </c>
      <c r="BA26" s="449">
        <f t="shared" si="6"/>
        <v>296989</v>
      </c>
    </row>
    <row r="27" spans="1:53" ht="16.5">
      <c r="A27" s="957" t="s">
        <v>285</v>
      </c>
      <c r="B27" s="998"/>
      <c r="C27" s="999"/>
      <c r="D27" s="960"/>
      <c r="E27" s="959"/>
      <c r="F27" s="960"/>
      <c r="G27" s="959"/>
      <c r="H27" s="960"/>
      <c r="I27" s="959"/>
      <c r="J27" s="960"/>
      <c r="K27" s="959"/>
      <c r="L27" s="960"/>
      <c r="M27" s="959"/>
      <c r="N27" s="960"/>
      <c r="O27" s="959"/>
      <c r="P27" s="960"/>
      <c r="Q27" s="959"/>
      <c r="R27" s="960"/>
      <c r="S27" s="959"/>
      <c r="T27" s="960"/>
      <c r="U27" s="959"/>
      <c r="V27" s="960">
        <v>29528368</v>
      </c>
      <c r="W27" s="959">
        <v>29791549</v>
      </c>
      <c r="X27" s="960"/>
      <c r="Y27" s="959"/>
      <c r="Z27" s="960"/>
      <c r="AA27" s="959"/>
      <c r="AB27" s="960"/>
      <c r="AC27" s="959"/>
      <c r="AD27" s="960">
        <v>1603664</v>
      </c>
      <c r="AE27" s="959">
        <v>1684942</v>
      </c>
      <c r="AF27" s="960">
        <v>4165785</v>
      </c>
      <c r="AG27" s="959">
        <v>6146607</v>
      </c>
      <c r="AH27" s="960"/>
      <c r="AI27" s="959"/>
      <c r="AJ27" s="960"/>
      <c r="AK27" s="959"/>
      <c r="AL27" s="960">
        <v>35186</v>
      </c>
      <c r="AM27" s="959">
        <v>7697</v>
      </c>
      <c r="AN27" s="960"/>
      <c r="AO27" s="959"/>
      <c r="AP27" s="960"/>
      <c r="AQ27" s="959"/>
      <c r="AR27" s="960"/>
      <c r="AS27" s="959"/>
      <c r="AT27" s="960">
        <f>3111915+127756</f>
        <v>3239671</v>
      </c>
      <c r="AU27" s="959">
        <f>1362540+49803</f>
        <v>1412343</v>
      </c>
      <c r="AV27" s="960">
        <f t="shared" si="0"/>
        <v>38572674</v>
      </c>
      <c r="AW27" s="449">
        <f t="shared" si="1"/>
        <v>39043138</v>
      </c>
      <c r="AX27" s="960"/>
      <c r="AY27" s="959"/>
      <c r="AZ27" s="962">
        <f t="shared" si="5"/>
        <v>38572674</v>
      </c>
      <c r="BA27" s="449">
        <f t="shared" si="6"/>
        <v>39043138</v>
      </c>
    </row>
    <row r="28" spans="1:53" ht="16.5">
      <c r="A28" s="956" t="s">
        <v>286</v>
      </c>
      <c r="B28" s="998">
        <v>8526783</v>
      </c>
      <c r="C28" s="999">
        <v>6379511</v>
      </c>
      <c r="D28" s="960">
        <v>1349316</v>
      </c>
      <c r="E28" s="959">
        <v>924295</v>
      </c>
      <c r="F28" s="960">
        <v>3084571</v>
      </c>
      <c r="G28" s="959">
        <v>2221627</v>
      </c>
      <c r="H28" s="960">
        <v>2989699</v>
      </c>
      <c r="I28" s="959">
        <v>4381197</v>
      </c>
      <c r="J28" s="960">
        <v>1510141</v>
      </c>
      <c r="K28" s="959">
        <v>818481</v>
      </c>
      <c r="L28" s="960">
        <v>5540008</v>
      </c>
      <c r="M28" s="959">
        <v>4322771</v>
      </c>
      <c r="N28" s="960"/>
      <c r="O28" s="959"/>
      <c r="P28" s="960">
        <v>74963</v>
      </c>
      <c r="Q28" s="959">
        <v>128685</v>
      </c>
      <c r="R28" s="960">
        <f>785336+300420</f>
        <v>1085756</v>
      </c>
      <c r="S28" s="959">
        <f>815617+433241</f>
        <v>1248858</v>
      </c>
      <c r="T28" s="960">
        <v>544603</v>
      </c>
      <c r="U28" s="959">
        <v>521914</v>
      </c>
      <c r="V28" s="960"/>
      <c r="W28" s="959"/>
      <c r="X28" s="960">
        <v>33027408</v>
      </c>
      <c r="Y28" s="959">
        <v>39373557</v>
      </c>
      <c r="Z28" s="960">
        <v>207138</v>
      </c>
      <c r="AA28" s="959">
        <v>248977</v>
      </c>
      <c r="AB28" s="960">
        <v>3292990</v>
      </c>
      <c r="AC28" s="959">
        <v>3002574</v>
      </c>
      <c r="AD28" s="960"/>
      <c r="AE28" s="959"/>
      <c r="AF28" s="960"/>
      <c r="AG28" s="959"/>
      <c r="AH28" s="960">
        <v>5242323</v>
      </c>
      <c r="AI28" s="959">
        <v>5924857</v>
      </c>
      <c r="AJ28" s="960">
        <v>4425052</v>
      </c>
      <c r="AK28" s="959">
        <v>5189104</v>
      </c>
      <c r="AL28" s="960"/>
      <c r="AM28" s="959"/>
      <c r="AN28" s="960">
        <v>16393756</v>
      </c>
      <c r="AO28" s="959">
        <v>18967320</v>
      </c>
      <c r="AP28" s="960">
        <v>336940</v>
      </c>
      <c r="AQ28" s="959">
        <v>292153</v>
      </c>
      <c r="AR28" s="960">
        <v>4231112</v>
      </c>
      <c r="AS28" s="959">
        <v>4030228</v>
      </c>
      <c r="AT28" s="960"/>
      <c r="AU28" s="959"/>
      <c r="AV28" s="960">
        <f t="shared" si="0"/>
        <v>91862559</v>
      </c>
      <c r="AW28" s="449">
        <f t="shared" si="1"/>
        <v>97976109</v>
      </c>
      <c r="AX28" s="960">
        <v>530414</v>
      </c>
      <c r="AY28" s="959">
        <v>383806</v>
      </c>
      <c r="AZ28" s="962">
        <f t="shared" si="5"/>
        <v>92392973</v>
      </c>
      <c r="BA28" s="449">
        <f t="shared" si="6"/>
        <v>98359915</v>
      </c>
    </row>
    <row r="29" spans="1:53" ht="16.5">
      <c r="A29" s="956" t="s">
        <v>287</v>
      </c>
      <c r="B29" s="998"/>
      <c r="C29" s="999"/>
      <c r="D29" s="960">
        <v>19185</v>
      </c>
      <c r="E29" s="959">
        <v>10714</v>
      </c>
      <c r="F29" s="960"/>
      <c r="G29" s="959"/>
      <c r="H29" s="960">
        <v>596</v>
      </c>
      <c r="I29" s="959">
        <v>4508</v>
      </c>
      <c r="J29" s="960"/>
      <c r="K29" s="959"/>
      <c r="L29" s="960">
        <v>390789</v>
      </c>
      <c r="M29" s="959">
        <v>546839</v>
      </c>
      <c r="N29" s="960"/>
      <c r="O29" s="959"/>
      <c r="P29" s="960"/>
      <c r="Q29" s="959"/>
      <c r="R29" s="960"/>
      <c r="S29" s="959"/>
      <c r="T29" s="960"/>
      <c r="U29" s="959"/>
      <c r="V29" s="960">
        <v>203592</v>
      </c>
      <c r="W29" s="959">
        <v>148651</v>
      </c>
      <c r="X29" s="960">
        <v>16902</v>
      </c>
      <c r="Y29" s="959">
        <v>49293</v>
      </c>
      <c r="Z29" s="960"/>
      <c r="AA29" s="959"/>
      <c r="AB29" s="960"/>
      <c r="AC29" s="959"/>
      <c r="AD29" s="960"/>
      <c r="AE29" s="959"/>
      <c r="AF29" s="960"/>
      <c r="AG29" s="959"/>
      <c r="AH29" s="960"/>
      <c r="AI29" s="959"/>
      <c r="AJ29" s="960"/>
      <c r="AK29" s="959"/>
      <c r="AL29" s="960"/>
      <c r="AM29" s="959"/>
      <c r="AN29" s="960">
        <v>132719</v>
      </c>
      <c r="AO29" s="959">
        <v>302274</v>
      </c>
      <c r="AP29" s="960"/>
      <c r="AQ29" s="959"/>
      <c r="AR29" s="960">
        <v>21215</v>
      </c>
      <c r="AS29" s="959">
        <v>9833</v>
      </c>
      <c r="AT29" s="960"/>
      <c r="AU29" s="959"/>
      <c r="AV29" s="960">
        <f t="shared" si="0"/>
        <v>784998</v>
      </c>
      <c r="AW29" s="449">
        <f t="shared" si="1"/>
        <v>1072112</v>
      </c>
      <c r="AX29" s="960">
        <v>1373354</v>
      </c>
      <c r="AY29" s="959">
        <v>559536</v>
      </c>
      <c r="AZ29" s="962">
        <f t="shared" si="5"/>
        <v>2158352</v>
      </c>
      <c r="BA29" s="449">
        <f t="shared" si="6"/>
        <v>1631648</v>
      </c>
    </row>
    <row r="30" spans="1:53" ht="16.5">
      <c r="A30" s="956" t="s">
        <v>288</v>
      </c>
      <c r="B30" s="998"/>
      <c r="C30" s="999"/>
      <c r="D30" s="960"/>
      <c r="E30" s="959"/>
      <c r="F30" s="960"/>
      <c r="G30" s="959"/>
      <c r="H30" s="960"/>
      <c r="I30" s="959"/>
      <c r="J30" s="960"/>
      <c r="K30" s="959"/>
      <c r="L30" s="960"/>
      <c r="M30" s="959"/>
      <c r="N30" s="960"/>
      <c r="O30" s="959"/>
      <c r="P30" s="960"/>
      <c r="Q30" s="959"/>
      <c r="R30" s="960"/>
      <c r="S30" s="959"/>
      <c r="T30" s="960"/>
      <c r="U30" s="959"/>
      <c r="V30" s="960"/>
      <c r="W30" s="959"/>
      <c r="X30" s="960"/>
      <c r="Y30" s="959">
        <v>-12275</v>
      </c>
      <c r="Z30" s="960"/>
      <c r="AA30" s="959"/>
      <c r="AB30" s="960"/>
      <c r="AC30" s="959"/>
      <c r="AD30" s="960"/>
      <c r="AE30" s="959"/>
      <c r="AF30" s="960"/>
      <c r="AG30" s="959"/>
      <c r="AH30" s="960"/>
      <c r="AI30" s="959"/>
      <c r="AJ30" s="960"/>
      <c r="AK30" s="959"/>
      <c r="AL30" s="960"/>
      <c r="AM30" s="959"/>
      <c r="AN30" s="960"/>
      <c r="AO30" s="959"/>
      <c r="AP30" s="960"/>
      <c r="AQ30" s="959"/>
      <c r="AR30" s="960"/>
      <c r="AS30" s="959"/>
      <c r="AT30" s="960"/>
      <c r="AU30" s="959"/>
      <c r="AV30" s="960">
        <f t="shared" si="0"/>
        <v>0</v>
      </c>
      <c r="AW30" s="449">
        <f t="shared" si="1"/>
        <v>-12275</v>
      </c>
      <c r="AX30" s="960"/>
      <c r="AY30" s="959"/>
      <c r="AZ30" s="962">
        <f t="shared" si="5"/>
        <v>0</v>
      </c>
      <c r="BA30" s="449">
        <f t="shared" si="6"/>
        <v>-12275</v>
      </c>
    </row>
    <row r="31" spans="1:53" ht="16.5">
      <c r="A31" s="956" t="s">
        <v>289</v>
      </c>
      <c r="B31" s="998"/>
      <c r="C31" s="999"/>
      <c r="D31" s="960"/>
      <c r="E31" s="959"/>
      <c r="F31" s="960"/>
      <c r="G31" s="959"/>
      <c r="H31" s="960"/>
      <c r="I31" s="959"/>
      <c r="J31" s="960"/>
      <c r="K31" s="959"/>
      <c r="L31" s="960"/>
      <c r="M31" s="959"/>
      <c r="N31" s="960"/>
      <c r="O31" s="959"/>
      <c r="P31" s="960"/>
      <c r="Q31" s="959"/>
      <c r="R31" s="960"/>
      <c r="S31" s="959"/>
      <c r="T31" s="960"/>
      <c r="U31" s="959"/>
      <c r="V31" s="960"/>
      <c r="W31" s="959"/>
      <c r="X31" s="960"/>
      <c r="Y31" s="959"/>
      <c r="Z31" s="960"/>
      <c r="AA31" s="959"/>
      <c r="AB31" s="960"/>
      <c r="AC31" s="959"/>
      <c r="AD31" s="960"/>
      <c r="AE31" s="959"/>
      <c r="AF31" s="960"/>
      <c r="AG31" s="959"/>
      <c r="AH31" s="960"/>
      <c r="AI31" s="959"/>
      <c r="AJ31" s="960"/>
      <c r="AK31" s="959"/>
      <c r="AL31" s="960"/>
      <c r="AM31" s="959"/>
      <c r="AN31" s="960">
        <v>360216558</v>
      </c>
      <c r="AO31" s="959">
        <v>445730325</v>
      </c>
      <c r="AP31" s="960"/>
      <c r="AQ31" s="959"/>
      <c r="AR31" s="960"/>
      <c r="AS31" s="959"/>
      <c r="AT31" s="960"/>
      <c r="AU31" s="959"/>
      <c r="AV31" s="960">
        <f t="shared" si="0"/>
        <v>360216558</v>
      </c>
      <c r="AW31" s="449">
        <f t="shared" si="1"/>
        <v>445730325</v>
      </c>
      <c r="AX31" s="960"/>
      <c r="AY31" s="959"/>
      <c r="AZ31" s="962">
        <f t="shared" si="5"/>
        <v>360216558</v>
      </c>
      <c r="BA31" s="449">
        <f t="shared" si="6"/>
        <v>445730325</v>
      </c>
    </row>
    <row r="32" spans="1:53" ht="16.5">
      <c r="A32" s="957" t="s">
        <v>290</v>
      </c>
      <c r="B32" s="998"/>
      <c r="C32" s="999"/>
      <c r="D32" s="960"/>
      <c r="E32" s="959"/>
      <c r="F32" s="960">
        <v>535833</v>
      </c>
      <c r="G32" s="959">
        <v>669159</v>
      </c>
      <c r="H32" s="960">
        <v>2073843</v>
      </c>
      <c r="I32" s="959">
        <v>3215657</v>
      </c>
      <c r="J32" s="960">
        <v>9135</v>
      </c>
      <c r="K32" s="959">
        <v>12554</v>
      </c>
      <c r="L32" s="960">
        <v>359741</v>
      </c>
      <c r="M32" s="959">
        <v>494509</v>
      </c>
      <c r="N32" s="960"/>
      <c r="O32" s="959"/>
      <c r="P32" s="960"/>
      <c r="Q32" s="959"/>
      <c r="R32" s="960">
        <v>300266</v>
      </c>
      <c r="S32" s="959">
        <v>415607</v>
      </c>
      <c r="T32" s="960">
        <v>83</v>
      </c>
      <c r="U32" s="959">
        <v>265686</v>
      </c>
      <c r="V32" s="960">
        <v>7054766</v>
      </c>
      <c r="W32" s="959">
        <v>8667828</v>
      </c>
      <c r="X32" s="960"/>
      <c r="Y32" s="959"/>
      <c r="Z32" s="960"/>
      <c r="AA32" s="959"/>
      <c r="AB32" s="960">
        <v>168610</v>
      </c>
      <c r="AC32" s="959">
        <v>284459</v>
      </c>
      <c r="AD32" s="960"/>
      <c r="AE32" s="959"/>
      <c r="AF32" s="960"/>
      <c r="AG32" s="959"/>
      <c r="AH32" s="960">
        <v>1659158</v>
      </c>
      <c r="AI32" s="959">
        <v>1522729</v>
      </c>
      <c r="AJ32" s="960"/>
      <c r="AK32" s="959"/>
      <c r="AL32" s="960">
        <v>808366</v>
      </c>
      <c r="AM32" s="959">
        <v>907984</v>
      </c>
      <c r="AN32" s="960"/>
      <c r="AO32" s="959"/>
      <c r="AP32" s="960">
        <v>23292</v>
      </c>
      <c r="AQ32" s="959">
        <v>13260</v>
      </c>
      <c r="AR32" s="960">
        <v>752231</v>
      </c>
      <c r="AS32" s="959">
        <v>1231749</v>
      </c>
      <c r="AT32" s="960">
        <v>669686</v>
      </c>
      <c r="AU32" s="959">
        <v>450264</v>
      </c>
      <c r="AV32" s="960">
        <f t="shared" si="0"/>
        <v>14415010</v>
      </c>
      <c r="AW32" s="449">
        <f t="shared" si="1"/>
        <v>18151445</v>
      </c>
      <c r="AX32" s="960">
        <v>529</v>
      </c>
      <c r="AY32" s="959">
        <v>327</v>
      </c>
      <c r="AZ32" s="962">
        <f t="shared" si="5"/>
        <v>14415539</v>
      </c>
      <c r="BA32" s="449">
        <f t="shared" si="6"/>
        <v>18151772</v>
      </c>
    </row>
    <row r="33" spans="1:53" ht="16.5">
      <c r="A33" s="956" t="s">
        <v>213</v>
      </c>
      <c r="B33" s="998">
        <v>131878</v>
      </c>
      <c r="C33" s="999">
        <v>68713</v>
      </c>
      <c r="D33" s="960">
        <v>3668</v>
      </c>
      <c r="E33" s="959">
        <v>295</v>
      </c>
      <c r="F33" s="960"/>
      <c r="G33" s="959"/>
      <c r="H33" s="960"/>
      <c r="I33" s="959"/>
      <c r="J33" s="960"/>
      <c r="K33" s="959"/>
      <c r="L33" s="960"/>
      <c r="M33" s="959"/>
      <c r="N33" s="960"/>
      <c r="O33" s="959"/>
      <c r="P33" s="960"/>
      <c r="Q33" s="959"/>
      <c r="R33" s="960"/>
      <c r="S33" s="959"/>
      <c r="T33" s="960"/>
      <c r="U33" s="959"/>
      <c r="V33" s="960"/>
      <c r="W33" s="959"/>
      <c r="X33" s="960">
        <v>10768</v>
      </c>
      <c r="Y33" s="959">
        <v>8171</v>
      </c>
      <c r="Z33" s="960"/>
      <c r="AA33" s="959"/>
      <c r="AB33" s="960"/>
      <c r="AC33" s="959"/>
      <c r="AD33" s="960"/>
      <c r="AE33" s="959"/>
      <c r="AF33" s="960"/>
      <c r="AG33" s="959">
        <v>83453</v>
      </c>
      <c r="AH33" s="960"/>
      <c r="AI33" s="959"/>
      <c r="AJ33" s="960"/>
      <c r="AK33" s="959"/>
      <c r="AL33" s="960"/>
      <c r="AM33" s="959"/>
      <c r="AN33" s="960"/>
      <c r="AO33" s="959"/>
      <c r="AP33" s="960"/>
      <c r="AQ33" s="959"/>
      <c r="AR33" s="960"/>
      <c r="AS33" s="959"/>
      <c r="AT33" s="960"/>
      <c r="AU33" s="959"/>
      <c r="AV33" s="960">
        <f t="shared" si="0"/>
        <v>146314</v>
      </c>
      <c r="AW33" s="449">
        <f t="shared" si="1"/>
        <v>160632</v>
      </c>
      <c r="AX33" s="960"/>
      <c r="AY33" s="959"/>
      <c r="AZ33" s="962">
        <f t="shared" si="5"/>
        <v>146314</v>
      </c>
      <c r="BA33" s="449">
        <f t="shared" si="6"/>
        <v>160632</v>
      </c>
    </row>
    <row r="34" spans="1:53" ht="16.5">
      <c r="A34" s="956" t="s">
        <v>278</v>
      </c>
      <c r="B34" s="998"/>
      <c r="C34" s="999"/>
      <c r="D34" s="960">
        <v>2743</v>
      </c>
      <c r="E34" s="959">
        <v>6581</v>
      </c>
      <c r="F34" s="960"/>
      <c r="G34" s="959"/>
      <c r="H34" s="960"/>
      <c r="I34" s="959"/>
      <c r="J34" s="960"/>
      <c r="K34" s="959"/>
      <c r="L34" s="960"/>
      <c r="M34" s="959"/>
      <c r="N34" s="960"/>
      <c r="O34" s="959"/>
      <c r="P34" s="960"/>
      <c r="Q34" s="959"/>
      <c r="R34" s="960"/>
      <c r="S34" s="959"/>
      <c r="T34" s="960"/>
      <c r="U34" s="959"/>
      <c r="V34" s="960"/>
      <c r="W34" s="959"/>
      <c r="X34" s="960">
        <v>6608365</v>
      </c>
      <c r="Y34" s="959">
        <v>6033687</v>
      </c>
      <c r="Z34" s="960"/>
      <c r="AA34" s="959"/>
      <c r="AB34" s="960"/>
      <c r="AC34" s="959"/>
      <c r="AD34" s="960"/>
      <c r="AE34" s="959"/>
      <c r="AF34" s="960">
        <v>14562830</v>
      </c>
      <c r="AG34" s="959">
        <v>15481371</v>
      </c>
      <c r="AH34" s="960"/>
      <c r="AI34" s="959"/>
      <c r="AJ34" s="960">
        <v>656077</v>
      </c>
      <c r="AK34" s="959">
        <v>73602</v>
      </c>
      <c r="AL34" s="960"/>
      <c r="AM34" s="959"/>
      <c r="AN34" s="960"/>
      <c r="AO34" s="959"/>
      <c r="AP34" s="960"/>
      <c r="AQ34" s="959"/>
      <c r="AR34" s="960"/>
      <c r="AS34" s="959"/>
      <c r="AT34" s="960">
        <v>17445</v>
      </c>
      <c r="AU34" s="959">
        <v>6047</v>
      </c>
      <c r="AV34" s="960">
        <f t="shared" si="0"/>
        <v>21847460</v>
      </c>
      <c r="AW34" s="449">
        <f t="shared" si="1"/>
        <v>21601288</v>
      </c>
      <c r="AX34" s="960"/>
      <c r="AY34" s="959"/>
      <c r="AZ34" s="962">
        <f t="shared" si="5"/>
        <v>21847460</v>
      </c>
      <c r="BA34" s="449">
        <f t="shared" si="6"/>
        <v>21601288</v>
      </c>
    </row>
    <row r="35" spans="1:53" ht="16.5">
      <c r="A35" s="956" t="s">
        <v>75</v>
      </c>
      <c r="B35" s="998"/>
      <c r="C35" s="999"/>
      <c r="D35" s="960"/>
      <c r="E35" s="959"/>
      <c r="F35" s="960"/>
      <c r="G35" s="959"/>
      <c r="H35" s="960"/>
      <c r="I35" s="959"/>
      <c r="J35" s="960"/>
      <c r="K35" s="959"/>
      <c r="L35" s="960"/>
      <c r="M35" s="959"/>
      <c r="N35" s="960"/>
      <c r="O35" s="959"/>
      <c r="P35" s="960"/>
      <c r="Q35" s="959"/>
      <c r="R35" s="960"/>
      <c r="S35" s="959"/>
      <c r="T35" s="960"/>
      <c r="U35" s="959"/>
      <c r="V35" s="960"/>
      <c r="W35" s="959"/>
      <c r="X35" s="960"/>
      <c r="Y35" s="959"/>
      <c r="Z35" s="960"/>
      <c r="AA35" s="959"/>
      <c r="AB35" s="960"/>
      <c r="AC35" s="959"/>
      <c r="AD35" s="960"/>
      <c r="AE35" s="959"/>
      <c r="AF35" s="960"/>
      <c r="AG35" s="959"/>
      <c r="AH35" s="960"/>
      <c r="AI35" s="959"/>
      <c r="AJ35" s="960"/>
      <c r="AK35" s="959"/>
      <c r="AL35" s="960"/>
      <c r="AM35" s="959"/>
      <c r="AN35" s="960"/>
      <c r="AO35" s="959"/>
      <c r="AP35" s="960"/>
      <c r="AQ35" s="959"/>
      <c r="AR35" s="960"/>
      <c r="AS35" s="959"/>
      <c r="AT35" s="960"/>
      <c r="AU35" s="959"/>
      <c r="AV35" s="960">
        <f t="shared" si="0"/>
        <v>0</v>
      </c>
      <c r="AW35" s="449">
        <f t="shared" si="1"/>
        <v>0</v>
      </c>
      <c r="AX35" s="960"/>
      <c r="AY35" s="959"/>
      <c r="AZ35" s="962">
        <f t="shared" si="5"/>
        <v>0</v>
      </c>
      <c r="BA35" s="449">
        <f t="shared" si="6"/>
        <v>0</v>
      </c>
    </row>
    <row r="36" spans="1:53" s="189" customFormat="1" ht="18">
      <c r="A36" s="957" t="s">
        <v>291</v>
      </c>
      <c r="B36" s="1001">
        <v>315439883</v>
      </c>
      <c r="C36" s="1003">
        <v>355493175</v>
      </c>
      <c r="D36" s="971">
        <v>33089436</v>
      </c>
      <c r="E36" s="970">
        <v>35955007</v>
      </c>
      <c r="F36" s="971">
        <v>98835105</v>
      </c>
      <c r="G36" s="970">
        <v>103661065</v>
      </c>
      <c r="H36" s="971">
        <v>443590898</v>
      </c>
      <c r="I36" s="970">
        <v>493998054</v>
      </c>
      <c r="J36" s="971">
        <v>53286565</v>
      </c>
      <c r="K36" s="970">
        <v>61536425</v>
      </c>
      <c r="L36" s="971">
        <v>101260527</v>
      </c>
      <c r="M36" s="970">
        <v>116550709</v>
      </c>
      <c r="N36" s="971">
        <v>24807044</v>
      </c>
      <c r="O36" s="970">
        <v>31010325</v>
      </c>
      <c r="P36" s="971">
        <v>18211946</v>
      </c>
      <c r="Q36" s="970">
        <v>22576549</v>
      </c>
      <c r="R36" s="971">
        <v>105234378</v>
      </c>
      <c r="S36" s="970">
        <v>120689840</v>
      </c>
      <c r="T36" s="971">
        <v>39035356</v>
      </c>
      <c r="U36" s="970">
        <v>42461053</v>
      </c>
      <c r="V36" s="971">
        <v>740453808</v>
      </c>
      <c r="W36" s="970">
        <v>912860193</v>
      </c>
      <c r="X36" s="971">
        <v>1025637072</v>
      </c>
      <c r="Y36" s="970">
        <v>1219042924</v>
      </c>
      <c r="Z36" s="971">
        <v>52234372</v>
      </c>
      <c r="AA36" s="970">
        <v>63559479</v>
      </c>
      <c r="AB36" s="971">
        <v>92047478</v>
      </c>
      <c r="AC36" s="970">
        <v>109915940</v>
      </c>
      <c r="AD36" s="971">
        <v>167058703</v>
      </c>
      <c r="AE36" s="970">
        <v>208005322</v>
      </c>
      <c r="AF36" s="971">
        <v>359855530</v>
      </c>
      <c r="AG36" s="970">
        <v>447350092</v>
      </c>
      <c r="AH36" s="971">
        <v>147631256</v>
      </c>
      <c r="AI36" s="970">
        <v>167098709</v>
      </c>
      <c r="AJ36" s="971">
        <v>158744398</v>
      </c>
      <c r="AK36" s="970">
        <v>177980722</v>
      </c>
      <c r="AL36" s="971">
        <v>12929706</v>
      </c>
      <c r="AM36" s="970">
        <v>13754317</v>
      </c>
      <c r="AN36" s="971">
        <v>807245585</v>
      </c>
      <c r="AO36" s="970">
        <v>992252464</v>
      </c>
      <c r="AP36" s="971">
        <v>26130253</v>
      </c>
      <c r="AQ36" s="970">
        <v>31404322</v>
      </c>
      <c r="AR36" s="971">
        <v>58327777</v>
      </c>
      <c r="AS36" s="970">
        <v>65262681</v>
      </c>
      <c r="AT36" s="971">
        <v>194952247</v>
      </c>
      <c r="AU36" s="970">
        <v>217091589</v>
      </c>
      <c r="AV36" s="971">
        <f t="shared" si="0"/>
        <v>5076039323</v>
      </c>
      <c r="AW36" s="955">
        <f t="shared" si="1"/>
        <v>6009510956</v>
      </c>
      <c r="AX36" s="971">
        <v>21708078534</v>
      </c>
      <c r="AY36" s="970">
        <v>25291466690</v>
      </c>
      <c r="AZ36" s="969">
        <f t="shared" si="5"/>
        <v>26784117857</v>
      </c>
      <c r="BA36" s="955">
        <f t="shared" si="6"/>
        <v>31300977646</v>
      </c>
    </row>
    <row r="37" spans="1:53" ht="16.5">
      <c r="A37" s="957" t="s">
        <v>292</v>
      </c>
      <c r="B37" s="998"/>
      <c r="C37" s="999"/>
      <c r="D37" s="960"/>
      <c r="E37" s="959"/>
      <c r="F37" s="960"/>
      <c r="G37" s="959"/>
      <c r="H37" s="960"/>
      <c r="I37" s="959"/>
      <c r="J37" s="960"/>
      <c r="K37" s="959"/>
      <c r="L37" s="960"/>
      <c r="M37" s="959"/>
      <c r="N37" s="960"/>
      <c r="O37" s="959"/>
      <c r="P37" s="960"/>
      <c r="Q37" s="959"/>
      <c r="R37" s="960"/>
      <c r="S37" s="959"/>
      <c r="T37" s="960"/>
      <c r="U37" s="959"/>
      <c r="V37" s="960"/>
      <c r="W37" s="959"/>
      <c r="X37" s="960"/>
      <c r="Y37" s="959"/>
      <c r="Z37" s="960"/>
      <c r="AA37" s="959"/>
      <c r="AB37" s="960"/>
      <c r="AC37" s="959"/>
      <c r="AD37" s="960"/>
      <c r="AE37" s="959"/>
      <c r="AF37" s="960"/>
      <c r="AG37" s="959"/>
      <c r="AH37" s="960"/>
      <c r="AI37" s="959"/>
      <c r="AJ37" s="960"/>
      <c r="AK37" s="959"/>
      <c r="AL37" s="960"/>
      <c r="AM37" s="959"/>
      <c r="AN37" s="960"/>
      <c r="AO37" s="959"/>
      <c r="AP37" s="960"/>
      <c r="AQ37" s="959"/>
      <c r="AR37" s="960"/>
      <c r="AS37" s="959"/>
      <c r="AT37" s="960"/>
      <c r="AU37" s="959"/>
      <c r="AV37" s="960">
        <f t="shared" si="0"/>
        <v>0</v>
      </c>
      <c r="AW37" s="449">
        <f t="shared" si="1"/>
        <v>0</v>
      </c>
      <c r="AX37" s="960"/>
      <c r="AY37" s="959"/>
      <c r="AZ37" s="962">
        <f t="shared" si="5"/>
        <v>0</v>
      </c>
      <c r="BA37" s="449">
        <f t="shared" si="6"/>
        <v>0</v>
      </c>
    </row>
    <row r="38" spans="1:53" ht="16.5">
      <c r="A38" s="957" t="s">
        <v>293</v>
      </c>
      <c r="B38" s="998"/>
      <c r="C38" s="999"/>
      <c r="D38" s="960"/>
      <c r="E38" s="959"/>
      <c r="F38" s="960"/>
      <c r="G38" s="959"/>
      <c r="H38" s="960"/>
      <c r="I38" s="959"/>
      <c r="J38" s="960"/>
      <c r="K38" s="959"/>
      <c r="L38" s="960"/>
      <c r="M38" s="959"/>
      <c r="N38" s="960"/>
      <c r="O38" s="959"/>
      <c r="P38" s="960"/>
      <c r="Q38" s="959"/>
      <c r="R38" s="960"/>
      <c r="S38" s="959"/>
      <c r="T38" s="960"/>
      <c r="U38" s="959"/>
      <c r="V38" s="960"/>
      <c r="W38" s="959"/>
      <c r="X38" s="960"/>
      <c r="Y38" s="959"/>
      <c r="Z38" s="960"/>
      <c r="AA38" s="959"/>
      <c r="AB38" s="960"/>
      <c r="AC38" s="959"/>
      <c r="AD38" s="960"/>
      <c r="AE38" s="959"/>
      <c r="AF38" s="960"/>
      <c r="AG38" s="959"/>
      <c r="AH38" s="960"/>
      <c r="AI38" s="959"/>
      <c r="AJ38" s="960"/>
      <c r="AK38" s="959"/>
      <c r="AL38" s="960"/>
      <c r="AM38" s="959"/>
      <c r="AN38" s="960"/>
      <c r="AO38" s="959"/>
      <c r="AP38" s="960"/>
      <c r="AQ38" s="959"/>
      <c r="AR38" s="960"/>
      <c r="AS38" s="959"/>
      <c r="AT38" s="960"/>
      <c r="AU38" s="959"/>
      <c r="AV38" s="960">
        <f t="shared" si="0"/>
        <v>0</v>
      </c>
      <c r="AW38" s="449">
        <f t="shared" si="1"/>
        <v>0</v>
      </c>
      <c r="AX38" s="960"/>
      <c r="AY38" s="959"/>
      <c r="AZ38" s="962">
        <f t="shared" si="5"/>
        <v>0</v>
      </c>
      <c r="BA38" s="449">
        <f t="shared" si="6"/>
        <v>0</v>
      </c>
    </row>
    <row r="39" spans="1:53" ht="16.5">
      <c r="A39" s="956" t="s">
        <v>323</v>
      </c>
      <c r="B39" s="998">
        <v>17066285</v>
      </c>
      <c r="C39" s="999">
        <v>16039133</v>
      </c>
      <c r="D39" s="960">
        <v>992264</v>
      </c>
      <c r="E39" s="959">
        <v>971657</v>
      </c>
      <c r="F39" s="960">
        <v>7769426</v>
      </c>
      <c r="G39" s="959">
        <v>7297625</v>
      </c>
      <c r="H39" s="960">
        <v>75646668</v>
      </c>
      <c r="I39" s="959">
        <v>73960709</v>
      </c>
      <c r="J39" s="960">
        <v>2719125</v>
      </c>
      <c r="K39" s="959">
        <v>2189251</v>
      </c>
      <c r="L39" s="960">
        <v>6549899</v>
      </c>
      <c r="M39" s="959">
        <v>6755762</v>
      </c>
      <c r="N39" s="960">
        <v>7469837</v>
      </c>
      <c r="O39" s="959">
        <v>7834198</v>
      </c>
      <c r="P39" s="960">
        <v>8875651</v>
      </c>
      <c r="Q39" s="959">
        <v>6137745</v>
      </c>
      <c r="R39" s="960">
        <v>7566327</v>
      </c>
      <c r="S39" s="959">
        <v>6955490</v>
      </c>
      <c r="T39" s="960">
        <v>1902489</v>
      </c>
      <c r="U39" s="959">
        <v>2119133</v>
      </c>
      <c r="V39" s="960">
        <v>26401505</v>
      </c>
      <c r="W39" s="959">
        <v>32455808</v>
      </c>
      <c r="X39" s="960">
        <v>62123939</v>
      </c>
      <c r="Y39" s="959">
        <v>66349201</v>
      </c>
      <c r="Z39" s="960">
        <v>4282535</v>
      </c>
      <c r="AA39" s="959">
        <v>4638577</v>
      </c>
      <c r="AB39" s="960">
        <v>5956131</v>
      </c>
      <c r="AC39" s="959">
        <v>4578529</v>
      </c>
      <c r="AD39" s="960">
        <v>13996388</v>
      </c>
      <c r="AE39" s="959">
        <v>15875540</v>
      </c>
      <c r="AF39" s="960">
        <v>23918248</v>
      </c>
      <c r="AG39" s="959">
        <v>30303071</v>
      </c>
      <c r="AH39" s="960">
        <v>6499122</v>
      </c>
      <c r="AI39" s="959">
        <v>7032825</v>
      </c>
      <c r="AJ39" s="960">
        <v>15249186</v>
      </c>
      <c r="AK39" s="959">
        <v>13167498</v>
      </c>
      <c r="AL39" s="960">
        <v>2429261</v>
      </c>
      <c r="AM39" s="959">
        <v>2699876</v>
      </c>
      <c r="AN39" s="960">
        <v>35649022</v>
      </c>
      <c r="AO39" s="959">
        <v>42955048</v>
      </c>
      <c r="AP39" s="960">
        <v>5325500</v>
      </c>
      <c r="AQ39" s="959">
        <v>6056181</v>
      </c>
      <c r="AR39" s="960">
        <v>1650185</v>
      </c>
      <c r="AS39" s="959">
        <v>2990906</v>
      </c>
      <c r="AT39" s="960">
        <v>20032356</v>
      </c>
      <c r="AU39" s="959">
        <v>17002594</v>
      </c>
      <c r="AV39" s="960">
        <f t="shared" si="0"/>
        <v>360071349</v>
      </c>
      <c r="AW39" s="449">
        <f t="shared" si="1"/>
        <v>376366357</v>
      </c>
      <c r="AX39" s="960">
        <v>5130857</v>
      </c>
      <c r="AY39" s="959">
        <v>5739752</v>
      </c>
      <c r="AZ39" s="962">
        <f t="shared" si="5"/>
        <v>365202206</v>
      </c>
      <c r="BA39" s="449">
        <f t="shared" si="6"/>
        <v>382106109</v>
      </c>
    </row>
    <row r="40" spans="1:53" ht="16.5">
      <c r="A40" s="956" t="s">
        <v>324</v>
      </c>
      <c r="B40" s="998">
        <v>56819610</v>
      </c>
      <c r="C40" s="999">
        <v>80312101</v>
      </c>
      <c r="D40" s="960">
        <v>6503179</v>
      </c>
      <c r="E40" s="959">
        <v>8865519</v>
      </c>
      <c r="F40" s="960">
        <v>31704995</v>
      </c>
      <c r="G40" s="959">
        <v>34469006</v>
      </c>
      <c r="H40" s="960">
        <v>170902000</v>
      </c>
      <c r="I40" s="959">
        <v>204802439</v>
      </c>
      <c r="J40" s="960">
        <v>1366878</v>
      </c>
      <c r="K40" s="959">
        <v>22314257</v>
      </c>
      <c r="L40" s="960">
        <v>22858682</v>
      </c>
      <c r="M40" s="959">
        <v>28632737</v>
      </c>
      <c r="N40" s="960">
        <v>10526408</v>
      </c>
      <c r="O40" s="959">
        <v>16163759</v>
      </c>
      <c r="P40" s="960">
        <v>3965242</v>
      </c>
      <c r="Q40" s="959">
        <v>6592697</v>
      </c>
      <c r="R40" s="960">
        <v>65070364</v>
      </c>
      <c r="S40" s="959">
        <v>79304061</v>
      </c>
      <c r="T40" s="960">
        <v>17717957</v>
      </c>
      <c r="U40" s="959">
        <v>19812884</v>
      </c>
      <c r="V40" s="960">
        <v>258628745</v>
      </c>
      <c r="W40" s="959">
        <v>346915391</v>
      </c>
      <c r="X40" s="960">
        <v>215156198</v>
      </c>
      <c r="Y40" s="959">
        <v>270670678</v>
      </c>
      <c r="Z40" s="960">
        <v>26844329</v>
      </c>
      <c r="AA40" s="959">
        <v>34736721</v>
      </c>
      <c r="AB40" s="960">
        <v>50539391</v>
      </c>
      <c r="AC40" s="959">
        <v>66996365</v>
      </c>
      <c r="AD40" s="960">
        <v>57305109</v>
      </c>
      <c r="AE40" s="959">
        <v>76397747</v>
      </c>
      <c r="AF40" s="960">
        <v>202784060</v>
      </c>
      <c r="AG40" s="959">
        <v>255482506</v>
      </c>
      <c r="AH40" s="960">
        <v>61431432</v>
      </c>
      <c r="AI40" s="959">
        <v>76830413</v>
      </c>
      <c r="AJ40" s="960">
        <v>69439953</v>
      </c>
      <c r="AK40" s="959">
        <v>84674088</v>
      </c>
      <c r="AL40" s="960">
        <v>2997230</v>
      </c>
      <c r="AM40" s="959">
        <v>7868197</v>
      </c>
      <c r="AN40" s="960">
        <v>382558966</v>
      </c>
      <c r="AO40" s="959">
        <v>469617460</v>
      </c>
      <c r="AP40" s="960">
        <v>11332639</v>
      </c>
      <c r="AQ40" s="959">
        <v>17032837</v>
      </c>
      <c r="AR40" s="960">
        <v>22456797</v>
      </c>
      <c r="AS40" s="959">
        <v>30251164</v>
      </c>
      <c r="AT40" s="960">
        <v>89733204</v>
      </c>
      <c r="AU40" s="959">
        <v>109074875</v>
      </c>
      <c r="AV40" s="960">
        <f t="shared" si="0"/>
        <v>1838643368</v>
      </c>
      <c r="AW40" s="449">
        <f t="shared" si="1"/>
        <v>2347817902</v>
      </c>
      <c r="AX40" s="960">
        <v>18722426118</v>
      </c>
      <c r="AY40" s="959">
        <v>22388727175</v>
      </c>
      <c r="AZ40" s="962">
        <f t="shared" si="5"/>
        <v>20561069486</v>
      </c>
      <c r="BA40" s="449">
        <f t="shared" si="6"/>
        <v>24736545077</v>
      </c>
    </row>
    <row r="41" spans="1:53" ht="16.5">
      <c r="A41" s="956" t="s">
        <v>325</v>
      </c>
      <c r="B41" s="998">
        <v>234227550</v>
      </c>
      <c r="C41" s="999">
        <v>248877216</v>
      </c>
      <c r="D41" s="960">
        <v>10341461</v>
      </c>
      <c r="E41" s="959">
        <v>9586948</v>
      </c>
      <c r="F41" s="960">
        <v>48046433</v>
      </c>
      <c r="G41" s="959">
        <v>46856030</v>
      </c>
      <c r="H41" s="960">
        <v>192214710</v>
      </c>
      <c r="I41" s="959">
        <v>208382129</v>
      </c>
      <c r="J41" s="960">
        <v>14252180</v>
      </c>
      <c r="K41" s="959">
        <v>12934910</v>
      </c>
      <c r="L41" s="960">
        <v>68448014</v>
      </c>
      <c r="M41" s="959">
        <v>77449823</v>
      </c>
      <c r="N41" s="960">
        <v>2231835</v>
      </c>
      <c r="O41" s="959">
        <v>1496253</v>
      </c>
      <c r="P41" s="960">
        <v>1140742</v>
      </c>
      <c r="Q41" s="959">
        <v>2143162</v>
      </c>
      <c r="R41" s="960">
        <v>21520578</v>
      </c>
      <c r="S41" s="959">
        <v>22342410</v>
      </c>
      <c r="T41" s="960">
        <v>6920217</v>
      </c>
      <c r="U41" s="959">
        <v>6528434</v>
      </c>
      <c r="V41" s="960">
        <v>457270155</v>
      </c>
      <c r="W41" s="959">
        <v>538004809</v>
      </c>
      <c r="X41" s="960">
        <v>752957948</v>
      </c>
      <c r="Y41" s="959">
        <v>878783451</v>
      </c>
      <c r="Z41" s="960">
        <v>16261476</v>
      </c>
      <c r="AA41" s="959">
        <v>19261900</v>
      </c>
      <c r="AB41" s="960">
        <v>32473645</v>
      </c>
      <c r="AC41" s="959">
        <v>34544849</v>
      </c>
      <c r="AD41" s="960">
        <v>96550069</v>
      </c>
      <c r="AE41" s="959">
        <v>115592797</v>
      </c>
      <c r="AF41" s="960">
        <v>131537582</v>
      </c>
      <c r="AG41" s="959">
        <v>155909509</v>
      </c>
      <c r="AH41" s="960">
        <v>66823290</v>
      </c>
      <c r="AI41" s="959">
        <v>67727348</v>
      </c>
      <c r="AJ41" s="960">
        <v>74956846</v>
      </c>
      <c r="AK41" s="959">
        <v>74689093</v>
      </c>
      <c r="AL41" s="960">
        <v>1888328</v>
      </c>
      <c r="AM41" s="959">
        <v>1453574</v>
      </c>
      <c r="AN41" s="960">
        <v>360218864</v>
      </c>
      <c r="AO41" s="959">
        <v>445730325</v>
      </c>
      <c r="AP41" s="960">
        <v>8625195</v>
      </c>
      <c r="AQ41" s="959">
        <v>7669276</v>
      </c>
      <c r="AR41" s="960">
        <v>30555173</v>
      </c>
      <c r="AS41" s="959">
        <v>28646031</v>
      </c>
      <c r="AT41" s="960">
        <v>82248877</v>
      </c>
      <c r="AU41" s="959">
        <v>84900198</v>
      </c>
      <c r="AV41" s="960">
        <f t="shared" si="0"/>
        <v>2711711168</v>
      </c>
      <c r="AW41" s="449">
        <f t="shared" si="1"/>
        <v>3089510475</v>
      </c>
      <c r="AX41" s="960">
        <v>845111119</v>
      </c>
      <c r="AY41" s="959">
        <v>902046041</v>
      </c>
      <c r="AZ41" s="962">
        <f t="shared" si="5"/>
        <v>3556822287</v>
      </c>
      <c r="BA41" s="449">
        <f t="shared" si="6"/>
        <v>3991556516</v>
      </c>
    </row>
    <row r="42" spans="1:53" ht="16.5">
      <c r="A42" s="956" t="s">
        <v>316</v>
      </c>
      <c r="B42" s="998"/>
      <c r="C42" s="999"/>
      <c r="D42" s="960"/>
      <c r="E42" s="959"/>
      <c r="F42" s="960"/>
      <c r="G42" s="959"/>
      <c r="H42" s="960">
        <v>2311507</v>
      </c>
      <c r="I42" s="959"/>
      <c r="J42" s="960"/>
      <c r="K42" s="959"/>
      <c r="L42" s="960"/>
      <c r="M42" s="959"/>
      <c r="N42" s="960"/>
      <c r="O42" s="959"/>
      <c r="P42" s="960"/>
      <c r="Q42" s="959"/>
      <c r="R42" s="960"/>
      <c r="S42" s="959"/>
      <c r="T42" s="960"/>
      <c r="U42" s="959"/>
      <c r="V42" s="960"/>
      <c r="W42" s="959"/>
      <c r="X42" s="960"/>
      <c r="Y42" s="959"/>
      <c r="Z42" s="960"/>
      <c r="AA42" s="959"/>
      <c r="AB42" s="960"/>
      <c r="AC42" s="959"/>
      <c r="AD42" s="960"/>
      <c r="AE42" s="959"/>
      <c r="AF42" s="960"/>
      <c r="AG42" s="959"/>
      <c r="AH42" s="960"/>
      <c r="AI42" s="959"/>
      <c r="AJ42" s="960"/>
      <c r="AK42" s="959"/>
      <c r="AL42" s="960"/>
      <c r="AM42" s="959"/>
      <c r="AN42" s="960"/>
      <c r="AO42" s="959"/>
      <c r="AP42" s="960"/>
      <c r="AQ42" s="959"/>
      <c r="AR42" s="960"/>
      <c r="AS42" s="959"/>
      <c r="AT42" s="960"/>
      <c r="AU42" s="959"/>
      <c r="AV42" s="960">
        <f t="shared" si="0"/>
        <v>2311507</v>
      </c>
      <c r="AW42" s="449">
        <f t="shared" si="1"/>
        <v>0</v>
      </c>
      <c r="AX42" s="960"/>
      <c r="AY42" s="959"/>
      <c r="AZ42" s="962">
        <f t="shared" si="5"/>
        <v>2311507</v>
      </c>
      <c r="BA42" s="449">
        <f t="shared" si="6"/>
        <v>0</v>
      </c>
    </row>
    <row r="43" spans="1:53" ht="16.5">
      <c r="A43" s="956" t="s">
        <v>322</v>
      </c>
      <c r="B43" s="998">
        <v>478398</v>
      </c>
      <c r="C43" s="999">
        <v>537204</v>
      </c>
      <c r="D43" s="960">
        <v>348153</v>
      </c>
      <c r="E43" s="959">
        <v>483884</v>
      </c>
      <c r="F43" s="960"/>
      <c r="G43" s="959"/>
      <c r="H43" s="960">
        <v>1448977</v>
      </c>
      <c r="I43" s="959">
        <v>1796437</v>
      </c>
      <c r="J43" s="960">
        <v>6654</v>
      </c>
      <c r="K43" s="959">
        <v>17135</v>
      </c>
      <c r="L43" s="960"/>
      <c r="M43" s="959"/>
      <c r="N43" s="960">
        <v>4236</v>
      </c>
      <c r="O43" s="959">
        <v>17820</v>
      </c>
      <c r="P43" s="960">
        <v>3664</v>
      </c>
      <c r="Q43" s="959">
        <v>5996</v>
      </c>
      <c r="R43" s="960">
        <v>1213</v>
      </c>
      <c r="S43" s="959">
        <v>627</v>
      </c>
      <c r="T43" s="960">
        <v>26721</v>
      </c>
      <c r="U43" s="959">
        <v>37077</v>
      </c>
      <c r="V43" s="960">
        <v>930694</v>
      </c>
      <c r="W43" s="959">
        <v>487516</v>
      </c>
      <c r="X43" s="960">
        <v>442718</v>
      </c>
      <c r="Y43" s="959">
        <v>806448</v>
      </c>
      <c r="Z43" s="960">
        <v>15</v>
      </c>
      <c r="AA43" s="959">
        <v>1203</v>
      </c>
      <c r="AB43" s="960">
        <v>83283</v>
      </c>
      <c r="AC43" s="959">
        <v>51640</v>
      </c>
      <c r="AD43" s="960">
        <v>1507576</v>
      </c>
      <c r="AE43" s="959">
        <v>1531071</v>
      </c>
      <c r="AF43" s="960">
        <v>763949</v>
      </c>
      <c r="AG43" s="959">
        <v>1333172</v>
      </c>
      <c r="AH43" s="960">
        <v>242755</v>
      </c>
      <c r="AI43" s="959">
        <v>288377</v>
      </c>
      <c r="AJ43" s="960">
        <v>299127</v>
      </c>
      <c r="AK43" s="959">
        <v>217207</v>
      </c>
      <c r="AL43" s="960">
        <v>86711</v>
      </c>
      <c r="AM43" s="959">
        <v>69718</v>
      </c>
      <c r="AN43" s="960">
        <v>1235623</v>
      </c>
      <c r="AO43" s="959">
        <v>1781994</v>
      </c>
      <c r="AP43" s="960">
        <v>29278</v>
      </c>
      <c r="AQ43" s="959">
        <v>49019</v>
      </c>
      <c r="AR43" s="960">
        <v>103951</v>
      </c>
      <c r="AS43" s="959">
        <v>94498</v>
      </c>
      <c r="AT43" s="960">
        <v>2535802</v>
      </c>
      <c r="AU43" s="959">
        <v>2916545</v>
      </c>
      <c r="AV43" s="960">
        <f t="shared" si="0"/>
        <v>10579498</v>
      </c>
      <c r="AW43" s="449">
        <f t="shared" si="1"/>
        <v>12524588</v>
      </c>
      <c r="AX43" s="960">
        <v>1041644006</v>
      </c>
      <c r="AY43" s="959">
        <v>1022912536</v>
      </c>
      <c r="AZ43" s="962">
        <f t="shared" si="5"/>
        <v>1052223504</v>
      </c>
      <c r="BA43" s="449">
        <f t="shared" si="6"/>
        <v>1035437124</v>
      </c>
    </row>
    <row r="44" spans="1:53" ht="16.5">
      <c r="A44" s="956" t="s">
        <v>321</v>
      </c>
      <c r="B44" s="998">
        <v>646172</v>
      </c>
      <c r="C44" s="999">
        <v>809500</v>
      </c>
      <c r="D44" s="960">
        <v>138895</v>
      </c>
      <c r="E44" s="959">
        <v>150683</v>
      </c>
      <c r="F44" s="960">
        <v>179908</v>
      </c>
      <c r="G44" s="959">
        <v>152090</v>
      </c>
      <c r="H44" s="960">
        <v>2198003</v>
      </c>
      <c r="I44" s="959">
        <v>2265025</v>
      </c>
      <c r="J44" s="960">
        <v>117632</v>
      </c>
      <c r="K44" s="959">
        <v>129601</v>
      </c>
      <c r="L44" s="960">
        <v>105431</v>
      </c>
      <c r="M44" s="959">
        <v>78378</v>
      </c>
      <c r="N44" s="960">
        <v>462605</v>
      </c>
      <c r="O44" s="959">
        <v>504589</v>
      </c>
      <c r="P44" s="960">
        <v>190380</v>
      </c>
      <c r="Q44" s="959">
        <v>659002</v>
      </c>
      <c r="R44" s="960">
        <v>280635</v>
      </c>
      <c r="S44" s="959">
        <v>328390</v>
      </c>
      <c r="T44" s="960">
        <v>179814</v>
      </c>
      <c r="U44" s="959">
        <v>233707</v>
      </c>
      <c r="V44" s="960">
        <v>3963745</v>
      </c>
      <c r="W44" s="959">
        <v>3529158</v>
      </c>
      <c r="X44" s="960">
        <v>2195962</v>
      </c>
      <c r="Y44" s="959">
        <v>2137975</v>
      </c>
      <c r="Z44" s="960">
        <v>1301487</v>
      </c>
      <c r="AA44" s="959">
        <v>1470513</v>
      </c>
      <c r="AB44" s="960">
        <v>118527</v>
      </c>
      <c r="AC44" s="959">
        <v>182583</v>
      </c>
      <c r="AD44" s="960">
        <v>440720</v>
      </c>
      <c r="AE44" s="959">
        <v>618135</v>
      </c>
      <c r="AF44" s="960">
        <v>1678532</v>
      </c>
      <c r="AG44" s="959">
        <v>1622746</v>
      </c>
      <c r="AH44" s="960">
        <v>726973</v>
      </c>
      <c r="AI44" s="959">
        <v>716566</v>
      </c>
      <c r="AJ44" s="960">
        <v>317174</v>
      </c>
      <c r="AK44" s="959">
        <v>295002</v>
      </c>
      <c r="AL44" s="960">
        <v>98147</v>
      </c>
      <c r="AM44" s="959">
        <v>96205</v>
      </c>
      <c r="AN44" s="960">
        <v>4472485</v>
      </c>
      <c r="AO44" s="959">
        <v>5384749</v>
      </c>
      <c r="AP44" s="960">
        <v>450755</v>
      </c>
      <c r="AQ44" s="959">
        <v>403862</v>
      </c>
      <c r="AR44" s="960">
        <v>224536</v>
      </c>
      <c r="AS44" s="959">
        <v>224826</v>
      </c>
      <c r="AT44" s="960">
        <v>1136719</v>
      </c>
      <c r="AU44" s="959">
        <v>1501758</v>
      </c>
      <c r="AV44" s="960">
        <f t="shared" si="0"/>
        <v>21625237</v>
      </c>
      <c r="AW44" s="449">
        <f t="shared" si="1"/>
        <v>23495043</v>
      </c>
      <c r="AX44" s="960">
        <v>31113888</v>
      </c>
      <c r="AY44" s="959">
        <v>25857898</v>
      </c>
      <c r="AZ44" s="962">
        <f t="shared" si="5"/>
        <v>52739125</v>
      </c>
      <c r="BA44" s="449">
        <f t="shared" si="6"/>
        <v>49352941</v>
      </c>
    </row>
    <row r="45" spans="1:53" ht="16.5">
      <c r="A45" s="957" t="s">
        <v>294</v>
      </c>
      <c r="B45" s="998"/>
      <c r="C45" s="999"/>
      <c r="D45" s="960"/>
      <c r="E45" s="959"/>
      <c r="F45" s="960"/>
      <c r="G45" s="959"/>
      <c r="H45" s="960"/>
      <c r="I45" s="959"/>
      <c r="J45" s="960"/>
      <c r="K45" s="959"/>
      <c r="L45" s="960"/>
      <c r="M45" s="959"/>
      <c r="N45" s="960"/>
      <c r="O45" s="959"/>
      <c r="P45" s="960"/>
      <c r="Q45" s="959"/>
      <c r="R45" s="960"/>
      <c r="S45" s="959"/>
      <c r="T45" s="960"/>
      <c r="U45" s="959"/>
      <c r="V45" s="960"/>
      <c r="W45" s="959"/>
      <c r="X45" s="960"/>
      <c r="Y45" s="959"/>
      <c r="Z45" s="960"/>
      <c r="AA45" s="959"/>
      <c r="AB45" s="960"/>
      <c r="AC45" s="959"/>
      <c r="AD45" s="960"/>
      <c r="AE45" s="959"/>
      <c r="AF45" s="960"/>
      <c r="AG45" s="959"/>
      <c r="AH45" s="960"/>
      <c r="AI45" s="959"/>
      <c r="AJ45" s="960"/>
      <c r="AK45" s="959"/>
      <c r="AL45" s="960"/>
      <c r="AM45" s="959"/>
      <c r="AN45" s="960"/>
      <c r="AO45" s="959"/>
      <c r="AP45" s="960"/>
      <c r="AQ45" s="959"/>
      <c r="AR45" s="960"/>
      <c r="AS45" s="959"/>
      <c r="AT45" s="960"/>
      <c r="AU45" s="959"/>
      <c r="AV45" s="960">
        <f t="shared" si="0"/>
        <v>0</v>
      </c>
      <c r="AW45" s="449">
        <f t="shared" si="1"/>
        <v>0</v>
      </c>
      <c r="AX45" s="960"/>
      <c r="AY45" s="959"/>
      <c r="AZ45" s="962">
        <f t="shared" si="5"/>
        <v>0</v>
      </c>
      <c r="BA45" s="449">
        <f t="shared" si="6"/>
        <v>0</v>
      </c>
    </row>
    <row r="46" spans="1:53" ht="16.5">
      <c r="A46" s="957" t="s">
        <v>295</v>
      </c>
      <c r="B46" s="998"/>
      <c r="C46" s="999"/>
      <c r="D46" s="960"/>
      <c r="E46" s="959"/>
      <c r="F46" s="960"/>
      <c r="G46" s="959"/>
      <c r="H46" s="960"/>
      <c r="I46" s="959"/>
      <c r="J46" s="960"/>
      <c r="K46" s="959"/>
      <c r="L46" s="960"/>
      <c r="M46" s="959"/>
      <c r="N46" s="960">
        <v>615064</v>
      </c>
      <c r="O46" s="959">
        <v>524397</v>
      </c>
      <c r="P46" s="960"/>
      <c r="Q46" s="959"/>
      <c r="R46" s="960"/>
      <c r="S46" s="959">
        <v>64458</v>
      </c>
      <c r="T46" s="960"/>
      <c r="U46" s="959"/>
      <c r="V46" s="960"/>
      <c r="W46" s="959"/>
      <c r="X46" s="960">
        <v>702</v>
      </c>
      <c r="Y46" s="959">
        <v>469</v>
      </c>
      <c r="Z46" s="960"/>
      <c r="AA46" s="959"/>
      <c r="AB46" s="960"/>
      <c r="AC46" s="959"/>
      <c r="AD46" s="960"/>
      <c r="AE46" s="959"/>
      <c r="AF46" s="960"/>
      <c r="AG46" s="959"/>
      <c r="AH46" s="960"/>
      <c r="AI46" s="959"/>
      <c r="AJ46" s="960"/>
      <c r="AK46" s="959"/>
      <c r="AL46" s="960"/>
      <c r="AM46" s="959"/>
      <c r="AN46" s="960"/>
      <c r="AO46" s="959"/>
      <c r="AP46" s="960"/>
      <c r="AQ46" s="959"/>
      <c r="AR46" s="960"/>
      <c r="AS46" s="959"/>
      <c r="AT46" s="960"/>
      <c r="AU46" s="959"/>
      <c r="AV46" s="960">
        <f t="shared" si="0"/>
        <v>615766</v>
      </c>
      <c r="AW46" s="449">
        <f t="shared" si="1"/>
        <v>589324</v>
      </c>
      <c r="AX46" s="960"/>
      <c r="AY46" s="959"/>
      <c r="AZ46" s="962">
        <f t="shared" si="5"/>
        <v>615766</v>
      </c>
      <c r="BA46" s="449">
        <f t="shared" si="6"/>
        <v>589324</v>
      </c>
    </row>
    <row r="47" spans="1:53" ht="16.5">
      <c r="A47" s="956" t="s">
        <v>318</v>
      </c>
      <c r="B47" s="998">
        <v>4810713</v>
      </c>
      <c r="C47" s="999">
        <v>4990548</v>
      </c>
      <c r="D47" s="960">
        <v>563946</v>
      </c>
      <c r="E47" s="959">
        <v>333073</v>
      </c>
      <c r="F47" s="960">
        <v>802813</v>
      </c>
      <c r="G47" s="959">
        <v>866689</v>
      </c>
      <c r="H47" s="960">
        <v>3347083</v>
      </c>
      <c r="I47" s="959">
        <v>6145345</v>
      </c>
      <c r="J47" s="960">
        <v>867504</v>
      </c>
      <c r="K47" s="959">
        <v>1136726</v>
      </c>
      <c r="L47" s="960">
        <v>-65759</v>
      </c>
      <c r="M47" s="959">
        <v>1219193</v>
      </c>
      <c r="N47" s="960">
        <v>266194</v>
      </c>
      <c r="O47" s="959">
        <v>619814</v>
      </c>
      <c r="P47" s="960">
        <v>483439</v>
      </c>
      <c r="Q47" s="959">
        <v>1015567</v>
      </c>
      <c r="R47" s="960">
        <v>2029328</v>
      </c>
      <c r="S47" s="959">
        <v>2857109</v>
      </c>
      <c r="T47" s="960">
        <v>351078</v>
      </c>
      <c r="U47" s="959">
        <v>468999</v>
      </c>
      <c r="V47" s="960">
        <v>6466032</v>
      </c>
      <c r="W47" s="959">
        <v>7964970</v>
      </c>
      <c r="X47" s="960">
        <v>2002288</v>
      </c>
      <c r="Y47" s="959">
        <v>2137280</v>
      </c>
      <c r="Z47" s="960">
        <v>1074726</v>
      </c>
      <c r="AA47" s="959">
        <v>1618249</v>
      </c>
      <c r="AB47" s="960">
        <v>923468</v>
      </c>
      <c r="AC47" s="959">
        <v>1005370</v>
      </c>
      <c r="AD47" s="960">
        <v>2216363</v>
      </c>
      <c r="AE47" s="959">
        <v>3240195</v>
      </c>
      <c r="AF47" s="960">
        <v>3326300</v>
      </c>
      <c r="AG47" s="959">
        <v>3464490</v>
      </c>
      <c r="AH47" s="960">
        <v>2224867</v>
      </c>
      <c r="AI47" s="959">
        <v>2625062</v>
      </c>
      <c r="AJ47" s="960">
        <v>3605204</v>
      </c>
      <c r="AK47" s="959">
        <v>1883699</v>
      </c>
      <c r="AL47" s="960">
        <v>498368</v>
      </c>
      <c r="AM47" s="959">
        <v>671100</v>
      </c>
      <c r="AN47" s="960">
        <v>26167626</v>
      </c>
      <c r="AO47" s="959">
        <v>24298416</v>
      </c>
      <c r="AP47" s="960">
        <v>1508667</v>
      </c>
      <c r="AQ47" s="959">
        <v>1443368</v>
      </c>
      <c r="AR47" s="960">
        <v>478016</v>
      </c>
      <c r="AS47" s="959">
        <v>414694</v>
      </c>
      <c r="AT47" s="960">
        <v>1287667</v>
      </c>
      <c r="AU47" s="959">
        <v>2090660</v>
      </c>
      <c r="AV47" s="960">
        <f t="shared" si="0"/>
        <v>65235931</v>
      </c>
      <c r="AW47" s="449">
        <f t="shared" si="1"/>
        <v>72510616</v>
      </c>
      <c r="AX47" s="960">
        <v>429106948</v>
      </c>
      <c r="AY47" s="959">
        <v>327288732</v>
      </c>
      <c r="AZ47" s="962">
        <f t="shared" si="5"/>
        <v>494342879</v>
      </c>
      <c r="BA47" s="449">
        <f t="shared" si="6"/>
        <v>399799348</v>
      </c>
    </row>
    <row r="48" spans="1:53" ht="16.5">
      <c r="A48" s="956" t="s">
        <v>317</v>
      </c>
      <c r="B48" s="998">
        <v>5011114</v>
      </c>
      <c r="C48" s="999">
        <v>8302050</v>
      </c>
      <c r="D48" s="960">
        <v>840071</v>
      </c>
      <c r="E48" s="959">
        <v>838501</v>
      </c>
      <c r="F48" s="960">
        <v>2650980</v>
      </c>
      <c r="G48" s="959">
        <v>4394282</v>
      </c>
      <c r="H48" s="960">
        <v>12151554</v>
      </c>
      <c r="I48" s="959">
        <v>19339721</v>
      </c>
      <c r="J48" s="960">
        <v>1825743</v>
      </c>
      <c r="K48" s="959">
        <v>2553102</v>
      </c>
      <c r="L48" s="960">
        <v>1356063</v>
      </c>
      <c r="M48" s="959">
        <v>1675253</v>
      </c>
      <c r="N48" s="960">
        <v>1200582</v>
      </c>
      <c r="O48" s="959">
        <v>1830763</v>
      </c>
      <c r="P48" s="960">
        <v>1040173</v>
      </c>
      <c r="Q48" s="959">
        <v>1491808</v>
      </c>
      <c r="R48" s="960">
        <v>3438541</v>
      </c>
      <c r="S48" s="959">
        <v>4820476</v>
      </c>
      <c r="T48" s="960">
        <v>1256551</v>
      </c>
      <c r="U48" s="959">
        <v>2000672</v>
      </c>
      <c r="V48" s="960">
        <v>12326049</v>
      </c>
      <c r="W48" s="959">
        <v>21712520</v>
      </c>
      <c r="X48" s="960">
        <v>12770348</v>
      </c>
      <c r="Y48" s="959">
        <v>26519717</v>
      </c>
      <c r="Z48" s="960">
        <v>2877496</v>
      </c>
      <c r="AA48" s="959">
        <v>3604346</v>
      </c>
      <c r="AB48" s="960">
        <v>2268978</v>
      </c>
      <c r="AC48" s="959">
        <v>3888346</v>
      </c>
      <c r="AD48" s="960">
        <v>3793512</v>
      </c>
      <c r="AE48" s="959">
        <v>4814896</v>
      </c>
      <c r="AF48" s="960">
        <v>12301998</v>
      </c>
      <c r="AG48" s="959">
        <v>14318177</v>
      </c>
      <c r="AH48" s="960">
        <v>3684812</v>
      </c>
      <c r="AI48" s="959">
        <v>6668996</v>
      </c>
      <c r="AJ48" s="960">
        <v>5062667</v>
      </c>
      <c r="AK48" s="959">
        <v>10070809</v>
      </c>
      <c r="AL48" s="960">
        <v>1308719</v>
      </c>
      <c r="AM48" s="959">
        <v>1400637</v>
      </c>
      <c r="AN48" s="960">
        <v>23988084</v>
      </c>
      <c r="AO48" s="959">
        <v>32627657</v>
      </c>
      <c r="AP48" s="960">
        <v>1330910</v>
      </c>
      <c r="AQ48" s="959">
        <v>2054503</v>
      </c>
      <c r="AR48" s="960">
        <v>4083345</v>
      </c>
      <c r="AS48" s="959">
        <v>3709713</v>
      </c>
      <c r="AT48" s="960">
        <v>4658598</v>
      </c>
      <c r="AU48" s="959">
        <v>8666549</v>
      </c>
      <c r="AV48" s="960">
        <f t="shared" si="0"/>
        <v>121226888</v>
      </c>
      <c r="AW48" s="449">
        <f t="shared" si="1"/>
        <v>187303494</v>
      </c>
      <c r="AX48" s="960">
        <v>866187278</v>
      </c>
      <c r="AY48" s="959">
        <v>911745608</v>
      </c>
      <c r="AZ48" s="962">
        <f t="shared" si="5"/>
        <v>987414166</v>
      </c>
      <c r="BA48" s="449">
        <f t="shared" si="6"/>
        <v>1099049102</v>
      </c>
    </row>
    <row r="49" spans="1:53" ht="18">
      <c r="A49" s="957" t="s">
        <v>296</v>
      </c>
      <c r="B49" s="1001">
        <v>9821827</v>
      </c>
      <c r="C49" s="1003">
        <v>13292598</v>
      </c>
      <c r="D49" s="971">
        <v>1404017</v>
      </c>
      <c r="E49" s="970">
        <v>1171574</v>
      </c>
      <c r="F49" s="971">
        <v>3453793</v>
      </c>
      <c r="G49" s="970">
        <v>5260971</v>
      </c>
      <c r="H49" s="971">
        <v>15498637</v>
      </c>
      <c r="I49" s="970">
        <v>25485066</v>
      </c>
      <c r="J49" s="971">
        <v>2693247</v>
      </c>
      <c r="K49" s="970">
        <v>3689828</v>
      </c>
      <c r="L49" s="971">
        <v>1290304</v>
      </c>
      <c r="M49" s="970">
        <v>2894446</v>
      </c>
      <c r="N49" s="971">
        <v>1466776</v>
      </c>
      <c r="O49" s="970">
        <v>2450577</v>
      </c>
      <c r="P49" s="971">
        <v>1523612</v>
      </c>
      <c r="Q49" s="970">
        <v>2507375</v>
      </c>
      <c r="R49" s="971">
        <v>5467870</v>
      </c>
      <c r="S49" s="970">
        <v>7677585</v>
      </c>
      <c r="T49" s="971">
        <v>1607629</v>
      </c>
      <c r="U49" s="970">
        <v>2469671</v>
      </c>
      <c r="V49" s="971">
        <v>18792081</v>
      </c>
      <c r="W49" s="970">
        <v>29677490</v>
      </c>
      <c r="X49" s="971">
        <v>14772636</v>
      </c>
      <c r="Y49" s="970">
        <v>28656997</v>
      </c>
      <c r="Z49" s="971">
        <v>3952222</v>
      </c>
      <c r="AA49" s="970">
        <v>5222595</v>
      </c>
      <c r="AB49" s="971">
        <v>3192447</v>
      </c>
      <c r="AC49" s="970">
        <v>4893716</v>
      </c>
      <c r="AD49" s="971">
        <v>6009875</v>
      </c>
      <c r="AE49" s="970">
        <v>8055091</v>
      </c>
      <c r="AF49" s="971">
        <v>15628298</v>
      </c>
      <c r="AG49" s="970">
        <v>17782667</v>
      </c>
      <c r="AH49" s="971">
        <v>5909679</v>
      </c>
      <c r="AI49" s="970">
        <v>9294058</v>
      </c>
      <c r="AJ49" s="971">
        <v>8667871</v>
      </c>
      <c r="AK49" s="970">
        <v>11954508</v>
      </c>
      <c r="AL49" s="971">
        <v>1807087</v>
      </c>
      <c r="AM49" s="970">
        <v>2071737</v>
      </c>
      <c r="AN49" s="971">
        <v>50155710</v>
      </c>
      <c r="AO49" s="970">
        <v>56926073</v>
      </c>
      <c r="AP49" s="971">
        <v>2839576</v>
      </c>
      <c r="AQ49" s="970">
        <v>3497871</v>
      </c>
      <c r="AR49" s="971">
        <v>4561361</v>
      </c>
      <c r="AS49" s="970">
        <v>4124407</v>
      </c>
      <c r="AT49" s="971">
        <v>5946265</v>
      </c>
      <c r="AU49" s="970">
        <v>10757209</v>
      </c>
      <c r="AV49" s="960">
        <f t="shared" si="0"/>
        <v>186462820</v>
      </c>
      <c r="AW49" s="449">
        <f t="shared" si="1"/>
        <v>259814110</v>
      </c>
      <c r="AX49" s="971">
        <v>1295294226</v>
      </c>
      <c r="AY49" s="970">
        <v>1239034340</v>
      </c>
      <c r="AZ49" s="962">
        <f t="shared" si="5"/>
        <v>1481757046</v>
      </c>
      <c r="BA49" s="449">
        <f t="shared" si="6"/>
        <v>1498848450</v>
      </c>
    </row>
    <row r="50" spans="1:53" ht="16.5">
      <c r="A50" s="956" t="s">
        <v>319</v>
      </c>
      <c r="B50" s="998">
        <v>8265075</v>
      </c>
      <c r="C50" s="999">
        <v>7770046</v>
      </c>
      <c r="D50" s="960">
        <v>1222791</v>
      </c>
      <c r="E50" s="959">
        <v>1188141</v>
      </c>
      <c r="F50" s="960">
        <v>4835027</v>
      </c>
      <c r="G50" s="959">
        <v>5233276</v>
      </c>
      <c r="H50" s="960">
        <v>12266921</v>
      </c>
      <c r="I50" s="959">
        <v>18017703</v>
      </c>
      <c r="J50" s="960">
        <v>2635981</v>
      </c>
      <c r="K50" s="959">
        <v>3390645</v>
      </c>
      <c r="L50" s="960">
        <v>2361448</v>
      </c>
      <c r="M50" s="959">
        <v>2513794</v>
      </c>
      <c r="N50" s="960">
        <v>2053243</v>
      </c>
      <c r="O50" s="959">
        <v>2430026</v>
      </c>
      <c r="P50" s="960">
        <v>1144986</v>
      </c>
      <c r="Q50" s="959">
        <v>1253432</v>
      </c>
      <c r="R50" s="960">
        <v>3811632</v>
      </c>
      <c r="S50" s="959">
        <v>3906300</v>
      </c>
      <c r="T50" s="960">
        <v>1661907</v>
      </c>
      <c r="U50" s="959">
        <v>1943188</v>
      </c>
      <c r="V50" s="960">
        <v>25118339</v>
      </c>
      <c r="W50" s="959">
        <v>37735448</v>
      </c>
      <c r="X50" s="960">
        <v>18215724</v>
      </c>
      <c r="Y50" s="959">
        <v>28160335</v>
      </c>
      <c r="Z50" s="960">
        <v>2095161</v>
      </c>
      <c r="AA50" s="959">
        <v>2917198</v>
      </c>
      <c r="AB50" s="960">
        <v>2688269</v>
      </c>
      <c r="AC50" s="959">
        <v>3360142</v>
      </c>
      <c r="AD50" s="960">
        <v>8485428</v>
      </c>
      <c r="AE50" s="959">
        <v>9748840</v>
      </c>
      <c r="AF50" s="960">
        <v>13649703</v>
      </c>
      <c r="AG50" s="959">
        <v>16773359</v>
      </c>
      <c r="AH50" s="960">
        <v>7186017</v>
      </c>
      <c r="AI50" s="959">
        <v>7562177</v>
      </c>
      <c r="AJ50" s="960">
        <v>12153357</v>
      </c>
      <c r="AK50" s="959">
        <v>9598120</v>
      </c>
      <c r="AL50" s="960">
        <v>260377</v>
      </c>
      <c r="AM50" s="959">
        <v>391861</v>
      </c>
      <c r="AN50" s="960">
        <v>25025877</v>
      </c>
      <c r="AO50" s="959">
        <v>27640721</v>
      </c>
      <c r="AP50" s="960">
        <v>2421453</v>
      </c>
      <c r="AQ50" s="959">
        <v>3215704</v>
      </c>
      <c r="AR50" s="960">
        <v>2748401</v>
      </c>
      <c r="AS50" s="959">
        <v>2035307</v>
      </c>
      <c r="AT50" s="960">
        <v>8793145</v>
      </c>
      <c r="AU50" s="959">
        <v>9985214</v>
      </c>
      <c r="AV50" s="960">
        <f t="shared" si="0"/>
        <v>169100262</v>
      </c>
      <c r="AW50" s="449">
        <f t="shared" si="1"/>
        <v>206770977</v>
      </c>
      <c r="AX50" s="960">
        <v>58240772</v>
      </c>
      <c r="AY50" s="959">
        <v>121417156</v>
      </c>
      <c r="AZ50" s="962">
        <f t="shared" si="5"/>
        <v>227341034</v>
      </c>
      <c r="BA50" s="449">
        <f t="shared" si="6"/>
        <v>328188133</v>
      </c>
    </row>
    <row r="51" spans="1:53" ht="16.5">
      <c r="A51" s="956" t="s">
        <v>320</v>
      </c>
      <c r="B51" s="998">
        <v>231084</v>
      </c>
      <c r="C51" s="999">
        <v>252540</v>
      </c>
      <c r="D51" s="960">
        <v>20862</v>
      </c>
      <c r="E51" s="959">
        <v>14824</v>
      </c>
      <c r="F51" s="960">
        <v>99686</v>
      </c>
      <c r="G51" s="959">
        <v>126624</v>
      </c>
      <c r="H51" s="960">
        <v>4362683</v>
      </c>
      <c r="I51" s="959">
        <v>4676048</v>
      </c>
      <c r="J51" s="960">
        <v>126955</v>
      </c>
      <c r="K51" s="959">
        <v>150298</v>
      </c>
      <c r="L51" s="960">
        <v>19229</v>
      </c>
      <c r="M51" s="959">
        <v>22849</v>
      </c>
      <c r="N51" s="960">
        <v>69418</v>
      </c>
      <c r="O51" s="959">
        <v>90647</v>
      </c>
      <c r="P51" s="960">
        <v>232256</v>
      </c>
      <c r="Q51" s="959">
        <v>264203</v>
      </c>
      <c r="R51" s="960">
        <v>61172</v>
      </c>
      <c r="S51" s="959">
        <v>87540</v>
      </c>
      <c r="T51" s="960">
        <v>36533</v>
      </c>
      <c r="U51" s="959">
        <v>45772</v>
      </c>
      <c r="V51" s="960">
        <v>414778</v>
      </c>
      <c r="W51" s="959">
        <v>465531</v>
      </c>
      <c r="X51" s="960">
        <v>3797307</v>
      </c>
      <c r="Y51" s="959">
        <v>204960</v>
      </c>
      <c r="Z51" s="960">
        <v>44087</v>
      </c>
      <c r="AA51" s="959">
        <v>65764</v>
      </c>
      <c r="AB51" s="960">
        <v>25785</v>
      </c>
      <c r="AC51" s="959">
        <v>18042</v>
      </c>
      <c r="AD51" s="960">
        <v>265606</v>
      </c>
      <c r="AE51" s="959">
        <v>316219</v>
      </c>
      <c r="AF51" s="960">
        <v>2805706</v>
      </c>
      <c r="AG51" s="959">
        <v>310220</v>
      </c>
      <c r="AH51" s="960">
        <v>214834</v>
      </c>
      <c r="AI51" s="959">
        <v>232052</v>
      </c>
      <c r="AJ51" s="960">
        <v>5182</v>
      </c>
      <c r="AK51" s="959">
        <v>2595</v>
      </c>
      <c r="AL51" s="960">
        <v>116681</v>
      </c>
      <c r="AM51" s="959">
        <v>113129</v>
      </c>
      <c r="AN51" s="960">
        <v>2019208</v>
      </c>
      <c r="AO51" s="959">
        <v>2502463</v>
      </c>
      <c r="AP51" s="960">
        <v>51239</v>
      </c>
      <c r="AQ51" s="959">
        <v>89020</v>
      </c>
      <c r="AR51" s="960">
        <v>9698</v>
      </c>
      <c r="AS51" s="959">
        <v>19425</v>
      </c>
      <c r="AT51" s="960">
        <v>148036</v>
      </c>
      <c r="AU51" s="959">
        <v>201831</v>
      </c>
      <c r="AV51" s="960">
        <f t="shared" si="0"/>
        <v>15178025</v>
      </c>
      <c r="AW51" s="449">
        <f t="shared" si="1"/>
        <v>10272596</v>
      </c>
      <c r="AX51" s="960">
        <v>174400908</v>
      </c>
      <c r="AY51" s="959">
        <v>171433896</v>
      </c>
      <c r="AZ51" s="962">
        <f t="shared" si="5"/>
        <v>189578933</v>
      </c>
      <c r="BA51" s="449">
        <f t="shared" si="6"/>
        <v>181706492</v>
      </c>
    </row>
    <row r="52" spans="1:53" ht="18">
      <c r="A52" s="957" t="s">
        <v>326</v>
      </c>
      <c r="B52" s="1001">
        <f>B50+B51</f>
        <v>8496159</v>
      </c>
      <c r="C52" s="1002">
        <f>C50+C51</f>
        <v>8022586</v>
      </c>
      <c r="D52" s="968">
        <f aca="true" t="shared" si="7" ref="D52:M52">D50+D51</f>
        <v>1243653</v>
      </c>
      <c r="E52" s="1002">
        <f t="shared" si="7"/>
        <v>1202965</v>
      </c>
      <c r="F52" s="968">
        <f t="shared" si="7"/>
        <v>4934713</v>
      </c>
      <c r="G52" s="1002">
        <f t="shared" si="7"/>
        <v>5359900</v>
      </c>
      <c r="H52" s="968">
        <f t="shared" si="7"/>
        <v>16629604</v>
      </c>
      <c r="I52" s="1002">
        <f t="shared" si="7"/>
        <v>22693751</v>
      </c>
      <c r="J52" s="968">
        <f t="shared" si="7"/>
        <v>2762936</v>
      </c>
      <c r="K52" s="1002">
        <f t="shared" si="7"/>
        <v>3540943</v>
      </c>
      <c r="L52" s="968">
        <f t="shared" si="7"/>
        <v>2380677</v>
      </c>
      <c r="M52" s="1002">
        <f t="shared" si="7"/>
        <v>2536643</v>
      </c>
      <c r="N52" s="968">
        <f aca="true" t="shared" si="8" ref="N52:AU52">N50+N51</f>
        <v>2122661</v>
      </c>
      <c r="O52" s="1002">
        <f t="shared" si="8"/>
        <v>2520673</v>
      </c>
      <c r="P52" s="968">
        <f t="shared" si="8"/>
        <v>1377242</v>
      </c>
      <c r="Q52" s="1002">
        <f t="shared" si="8"/>
        <v>1517635</v>
      </c>
      <c r="R52" s="968">
        <f t="shared" si="8"/>
        <v>3872804</v>
      </c>
      <c r="S52" s="1002">
        <f t="shared" si="8"/>
        <v>3993840</v>
      </c>
      <c r="T52" s="968">
        <f t="shared" si="8"/>
        <v>1698440</v>
      </c>
      <c r="U52" s="1002">
        <f t="shared" si="8"/>
        <v>1988960</v>
      </c>
      <c r="V52" s="968">
        <f t="shared" si="8"/>
        <v>25533117</v>
      </c>
      <c r="W52" s="1002">
        <f t="shared" si="8"/>
        <v>38200979</v>
      </c>
      <c r="X52" s="968">
        <f t="shared" si="8"/>
        <v>22013031</v>
      </c>
      <c r="Y52" s="1002">
        <f t="shared" si="8"/>
        <v>28365295</v>
      </c>
      <c r="Z52" s="968">
        <f t="shared" si="8"/>
        <v>2139248</v>
      </c>
      <c r="AA52" s="1002">
        <f t="shared" si="8"/>
        <v>2982962</v>
      </c>
      <c r="AB52" s="968">
        <f t="shared" si="8"/>
        <v>2714054</v>
      </c>
      <c r="AC52" s="1002">
        <f t="shared" si="8"/>
        <v>3378184</v>
      </c>
      <c r="AD52" s="968">
        <f t="shared" si="8"/>
        <v>8751034</v>
      </c>
      <c r="AE52" s="1002">
        <f t="shared" si="8"/>
        <v>10065059</v>
      </c>
      <c r="AF52" s="968">
        <f t="shared" si="8"/>
        <v>16455409</v>
      </c>
      <c r="AG52" s="1002">
        <f t="shared" si="8"/>
        <v>17083579</v>
      </c>
      <c r="AH52" s="968">
        <f t="shared" si="8"/>
        <v>7400851</v>
      </c>
      <c r="AI52" s="1002">
        <f t="shared" si="8"/>
        <v>7794229</v>
      </c>
      <c r="AJ52" s="968">
        <f t="shared" si="8"/>
        <v>12158539</v>
      </c>
      <c r="AK52" s="1002">
        <f t="shared" si="8"/>
        <v>9600715</v>
      </c>
      <c r="AL52" s="968">
        <f t="shared" si="8"/>
        <v>377058</v>
      </c>
      <c r="AM52" s="1002">
        <f t="shared" si="8"/>
        <v>504990</v>
      </c>
      <c r="AN52" s="968">
        <f t="shared" si="8"/>
        <v>27045085</v>
      </c>
      <c r="AO52" s="1002">
        <f t="shared" si="8"/>
        <v>30143184</v>
      </c>
      <c r="AP52" s="968">
        <f t="shared" si="8"/>
        <v>2472692</v>
      </c>
      <c r="AQ52" s="1002">
        <f t="shared" si="8"/>
        <v>3304724</v>
      </c>
      <c r="AR52" s="968">
        <f t="shared" si="8"/>
        <v>2758099</v>
      </c>
      <c r="AS52" s="1002">
        <f t="shared" si="8"/>
        <v>2054732</v>
      </c>
      <c r="AT52" s="968">
        <f t="shared" si="8"/>
        <v>8941181</v>
      </c>
      <c r="AU52" s="1002">
        <f t="shared" si="8"/>
        <v>10187045</v>
      </c>
      <c r="AV52" s="960">
        <f t="shared" si="0"/>
        <v>184278287</v>
      </c>
      <c r="AW52" s="449">
        <f t="shared" si="1"/>
        <v>217043573</v>
      </c>
      <c r="AX52" s="971">
        <v>232641680</v>
      </c>
      <c r="AY52" s="970">
        <v>292851052</v>
      </c>
      <c r="AZ52" s="962">
        <f t="shared" si="5"/>
        <v>416919967</v>
      </c>
      <c r="BA52" s="449">
        <f t="shared" si="6"/>
        <v>509894625</v>
      </c>
    </row>
    <row r="53" spans="1:53" ht="18">
      <c r="A53" s="996" t="s">
        <v>297</v>
      </c>
      <c r="B53" s="1001">
        <f>B49-B52</f>
        <v>1325668</v>
      </c>
      <c r="C53" s="1002">
        <f>C49-C52</f>
        <v>5270012</v>
      </c>
      <c r="D53" s="968">
        <f aca="true" t="shared" si="9" ref="D53:M53">D49-D52</f>
        <v>160364</v>
      </c>
      <c r="E53" s="1002">
        <f t="shared" si="9"/>
        <v>-31391</v>
      </c>
      <c r="F53" s="968">
        <f t="shared" si="9"/>
        <v>-1480920</v>
      </c>
      <c r="G53" s="1002">
        <f t="shared" si="9"/>
        <v>-98929</v>
      </c>
      <c r="H53" s="968">
        <f t="shared" si="9"/>
        <v>-1130967</v>
      </c>
      <c r="I53" s="1002">
        <f t="shared" si="9"/>
        <v>2791315</v>
      </c>
      <c r="J53" s="968">
        <f t="shared" si="9"/>
        <v>-69689</v>
      </c>
      <c r="K53" s="1002">
        <f t="shared" si="9"/>
        <v>148885</v>
      </c>
      <c r="L53" s="968">
        <f t="shared" si="9"/>
        <v>-1090373</v>
      </c>
      <c r="M53" s="1002">
        <f t="shared" si="9"/>
        <v>357803</v>
      </c>
      <c r="N53" s="968">
        <f aca="true" t="shared" si="10" ref="N53:AU53">N49-N52</f>
        <v>-655885</v>
      </c>
      <c r="O53" s="1002">
        <f t="shared" si="10"/>
        <v>-70096</v>
      </c>
      <c r="P53" s="968">
        <f t="shared" si="10"/>
        <v>146370</v>
      </c>
      <c r="Q53" s="1002">
        <f t="shared" si="10"/>
        <v>989740</v>
      </c>
      <c r="R53" s="968">
        <f t="shared" si="10"/>
        <v>1595066</v>
      </c>
      <c r="S53" s="1002">
        <f t="shared" si="10"/>
        <v>3683745</v>
      </c>
      <c r="T53" s="968">
        <f t="shared" si="10"/>
        <v>-90811</v>
      </c>
      <c r="U53" s="1002">
        <f t="shared" si="10"/>
        <v>480711</v>
      </c>
      <c r="V53" s="968">
        <f t="shared" si="10"/>
        <v>-6741036</v>
      </c>
      <c r="W53" s="1002">
        <f t="shared" si="10"/>
        <v>-8523489</v>
      </c>
      <c r="X53" s="968">
        <f t="shared" si="10"/>
        <v>-7240395</v>
      </c>
      <c r="Y53" s="1002">
        <f t="shared" si="10"/>
        <v>291702</v>
      </c>
      <c r="Z53" s="968">
        <f t="shared" si="10"/>
        <v>1812974</v>
      </c>
      <c r="AA53" s="1002">
        <f t="shared" si="10"/>
        <v>2239633</v>
      </c>
      <c r="AB53" s="968">
        <f t="shared" si="10"/>
        <v>478393</v>
      </c>
      <c r="AC53" s="1002">
        <f t="shared" si="10"/>
        <v>1515532</v>
      </c>
      <c r="AD53" s="968">
        <f t="shared" si="10"/>
        <v>-2741159</v>
      </c>
      <c r="AE53" s="1002">
        <f t="shared" si="10"/>
        <v>-2009968</v>
      </c>
      <c r="AF53" s="968">
        <f t="shared" si="10"/>
        <v>-827111</v>
      </c>
      <c r="AG53" s="1002">
        <f t="shared" si="10"/>
        <v>699088</v>
      </c>
      <c r="AH53" s="968">
        <f t="shared" si="10"/>
        <v>-1491172</v>
      </c>
      <c r="AI53" s="1002">
        <f t="shared" si="10"/>
        <v>1499829</v>
      </c>
      <c r="AJ53" s="968">
        <f t="shared" si="10"/>
        <v>-3490668</v>
      </c>
      <c r="AK53" s="1002">
        <f t="shared" si="10"/>
        <v>2353793</v>
      </c>
      <c r="AL53" s="968">
        <f t="shared" si="10"/>
        <v>1430029</v>
      </c>
      <c r="AM53" s="1002">
        <f t="shared" si="10"/>
        <v>1566747</v>
      </c>
      <c r="AN53" s="968">
        <f t="shared" si="10"/>
        <v>23110625</v>
      </c>
      <c r="AO53" s="1002">
        <f t="shared" si="10"/>
        <v>26782889</v>
      </c>
      <c r="AP53" s="968">
        <f t="shared" si="10"/>
        <v>366884</v>
      </c>
      <c r="AQ53" s="1002">
        <f t="shared" si="10"/>
        <v>193147</v>
      </c>
      <c r="AR53" s="968">
        <f t="shared" si="10"/>
        <v>1803262</v>
      </c>
      <c r="AS53" s="1002">
        <f t="shared" si="10"/>
        <v>2069675</v>
      </c>
      <c r="AT53" s="968">
        <f t="shared" si="10"/>
        <v>-2994916</v>
      </c>
      <c r="AU53" s="1002">
        <f t="shared" si="10"/>
        <v>570164</v>
      </c>
      <c r="AV53" s="960">
        <f t="shared" si="0"/>
        <v>2184533</v>
      </c>
      <c r="AW53" s="449">
        <f t="shared" si="1"/>
        <v>42770537</v>
      </c>
      <c r="AX53" s="971">
        <v>1062652546</v>
      </c>
      <c r="AY53" s="970">
        <v>946183288</v>
      </c>
      <c r="AZ53" s="962">
        <f t="shared" si="5"/>
        <v>1064837079</v>
      </c>
      <c r="BA53" s="449">
        <f t="shared" si="6"/>
        <v>988953825</v>
      </c>
    </row>
    <row r="54" spans="1:53" ht="16.5">
      <c r="A54" s="956" t="s">
        <v>298</v>
      </c>
      <c r="B54" s="998"/>
      <c r="C54" s="999"/>
      <c r="D54" s="960"/>
      <c r="E54" s="959"/>
      <c r="F54" s="960"/>
      <c r="G54" s="959"/>
      <c r="H54" s="960"/>
      <c r="I54" s="959"/>
      <c r="J54" s="960"/>
      <c r="K54" s="959"/>
      <c r="L54" s="960"/>
      <c r="M54" s="959"/>
      <c r="N54" s="960"/>
      <c r="O54" s="959"/>
      <c r="P54" s="960"/>
      <c r="Q54" s="959"/>
      <c r="R54" s="960"/>
      <c r="S54" s="959"/>
      <c r="T54" s="960"/>
      <c r="U54" s="959"/>
      <c r="V54" s="960"/>
      <c r="W54" s="959"/>
      <c r="X54" s="960"/>
      <c r="Y54" s="959"/>
      <c r="Z54" s="960"/>
      <c r="AA54" s="959"/>
      <c r="AB54" s="960"/>
      <c r="AC54" s="959"/>
      <c r="AD54" s="960"/>
      <c r="AE54" s="959"/>
      <c r="AF54" s="960"/>
      <c r="AG54" s="959"/>
      <c r="AH54" s="960"/>
      <c r="AI54" s="959"/>
      <c r="AJ54" s="960"/>
      <c r="AK54" s="959"/>
      <c r="AL54" s="960"/>
      <c r="AM54" s="959"/>
      <c r="AN54" s="960"/>
      <c r="AO54" s="959"/>
      <c r="AP54" s="960"/>
      <c r="AQ54" s="959"/>
      <c r="AR54" s="960"/>
      <c r="AS54" s="959"/>
      <c r="AT54" s="960"/>
      <c r="AU54" s="959"/>
      <c r="AV54" s="960">
        <f t="shared" si="0"/>
        <v>0</v>
      </c>
      <c r="AW54" s="449">
        <f t="shared" si="1"/>
        <v>0</v>
      </c>
      <c r="AX54" s="960"/>
      <c r="AY54" s="959"/>
      <c r="AZ54" s="962">
        <f t="shared" si="5"/>
        <v>0</v>
      </c>
      <c r="BA54" s="449">
        <f t="shared" si="6"/>
        <v>0</v>
      </c>
    </row>
    <row r="55" spans="1:53" ht="16.5">
      <c r="A55" s="956" t="s">
        <v>299</v>
      </c>
      <c r="B55" s="998"/>
      <c r="C55" s="999"/>
      <c r="D55" s="960"/>
      <c r="E55" s="959"/>
      <c r="F55" s="960"/>
      <c r="G55" s="959"/>
      <c r="H55" s="960"/>
      <c r="I55" s="959"/>
      <c r="J55" s="960"/>
      <c r="K55" s="959"/>
      <c r="L55" s="960"/>
      <c r="M55" s="959"/>
      <c r="N55" s="960"/>
      <c r="O55" s="959"/>
      <c r="P55" s="960"/>
      <c r="Q55" s="959"/>
      <c r="R55" s="960"/>
      <c r="S55" s="959"/>
      <c r="T55" s="960"/>
      <c r="U55" s="959"/>
      <c r="V55" s="960"/>
      <c r="W55" s="959"/>
      <c r="X55" s="960"/>
      <c r="Y55" s="959"/>
      <c r="Z55" s="960"/>
      <c r="AA55" s="959"/>
      <c r="AB55" s="960"/>
      <c r="AC55" s="959"/>
      <c r="AD55" s="960"/>
      <c r="AE55" s="959"/>
      <c r="AF55" s="960"/>
      <c r="AG55" s="959"/>
      <c r="AH55" s="960"/>
      <c r="AI55" s="959"/>
      <c r="AJ55" s="960"/>
      <c r="AK55" s="959"/>
      <c r="AL55" s="960"/>
      <c r="AM55" s="959"/>
      <c r="AN55" s="960"/>
      <c r="AO55" s="959"/>
      <c r="AP55" s="960"/>
      <c r="AQ55" s="959"/>
      <c r="AR55" s="960"/>
      <c r="AS55" s="959"/>
      <c r="AT55" s="960"/>
      <c r="AU55" s="959"/>
      <c r="AV55" s="960">
        <f t="shared" si="0"/>
        <v>0</v>
      </c>
      <c r="AW55" s="449">
        <f t="shared" si="1"/>
        <v>0</v>
      </c>
      <c r="AX55" s="960"/>
      <c r="AY55" s="959"/>
      <c r="AZ55" s="962">
        <f t="shared" si="5"/>
        <v>0</v>
      </c>
      <c r="BA55" s="449">
        <f t="shared" si="6"/>
        <v>0</v>
      </c>
    </row>
    <row r="56" spans="1:53" ht="16.5">
      <c r="A56" s="956" t="s">
        <v>300</v>
      </c>
      <c r="B56" s="998">
        <v>4876200</v>
      </c>
      <c r="C56" s="999">
        <v>3648009</v>
      </c>
      <c r="D56" s="960">
        <v>2889025</v>
      </c>
      <c r="E56" s="959">
        <v>3513823</v>
      </c>
      <c r="F56" s="960">
        <v>12615263</v>
      </c>
      <c r="G56" s="959">
        <v>12985243</v>
      </c>
      <c r="H56" s="960"/>
      <c r="I56" s="959"/>
      <c r="J56" s="960">
        <v>22593784</v>
      </c>
      <c r="K56" s="959">
        <v>23802386</v>
      </c>
      <c r="L56" s="960">
        <v>4388874</v>
      </c>
      <c r="M56" s="959">
        <v>3276206</v>
      </c>
      <c r="N56" s="960">
        <v>4152944</v>
      </c>
      <c r="O56" s="959">
        <v>3539405</v>
      </c>
      <c r="P56" s="960">
        <v>3889897</v>
      </c>
      <c r="Q56" s="959">
        <v>6048207</v>
      </c>
      <c r="R56" s="960">
        <v>9200196</v>
      </c>
      <c r="S56" s="959">
        <v>8010659</v>
      </c>
      <c r="T56" s="960">
        <v>12387969</v>
      </c>
      <c r="U56" s="959">
        <v>13249107</v>
      </c>
      <c r="V56" s="960"/>
      <c r="W56" s="959"/>
      <c r="X56" s="960"/>
      <c r="Y56" s="959"/>
      <c r="Z56" s="960">
        <v>1731556</v>
      </c>
      <c r="AA56" s="959">
        <v>1210932</v>
      </c>
      <c r="AB56" s="960">
        <v>2398105</v>
      </c>
      <c r="AC56" s="959">
        <v>2046440</v>
      </c>
      <c r="AD56" s="960"/>
      <c r="AE56" s="959"/>
      <c r="AF56" s="960"/>
      <c r="AG56" s="959"/>
      <c r="AH56" s="960">
        <v>13398856</v>
      </c>
      <c r="AI56" s="959">
        <v>13003351</v>
      </c>
      <c r="AJ56" s="960">
        <v>1972780</v>
      </c>
      <c r="AK56" s="959">
        <v>2584041</v>
      </c>
      <c r="AL56" s="960"/>
      <c r="AM56" s="959"/>
      <c r="AN56" s="960"/>
      <c r="AO56" s="959"/>
      <c r="AP56" s="960"/>
      <c r="AQ56" s="959"/>
      <c r="AR56" s="960">
        <v>1533873</v>
      </c>
      <c r="AS56" s="959">
        <v>985581</v>
      </c>
      <c r="AT56" s="960">
        <v>2260205</v>
      </c>
      <c r="AU56" s="959">
        <v>1125455</v>
      </c>
      <c r="AV56" s="960">
        <f t="shared" si="0"/>
        <v>100289527</v>
      </c>
      <c r="AW56" s="449">
        <f t="shared" si="1"/>
        <v>99028845</v>
      </c>
      <c r="AX56" s="960"/>
      <c r="AY56" s="959"/>
      <c r="AZ56" s="962">
        <f t="shared" si="5"/>
        <v>100289527</v>
      </c>
      <c r="BA56" s="449">
        <f t="shared" si="6"/>
        <v>99028845</v>
      </c>
    </row>
    <row r="57" spans="1:53" ht="16.5">
      <c r="A57" s="956" t="s">
        <v>301</v>
      </c>
      <c r="B57" s="998"/>
      <c r="C57" s="999"/>
      <c r="D57" s="960">
        <v>11716095</v>
      </c>
      <c r="E57" s="959">
        <v>12413884</v>
      </c>
      <c r="F57" s="960"/>
      <c r="G57" s="959"/>
      <c r="H57" s="960"/>
      <c r="I57" s="959"/>
      <c r="J57" s="960"/>
      <c r="K57" s="959"/>
      <c r="L57" s="960"/>
      <c r="M57" s="959"/>
      <c r="N57" s="960"/>
      <c r="O57" s="959"/>
      <c r="P57" s="960"/>
      <c r="Q57" s="959"/>
      <c r="R57" s="960"/>
      <c r="S57" s="959"/>
      <c r="T57" s="960"/>
      <c r="U57" s="959"/>
      <c r="V57" s="960"/>
      <c r="W57" s="959"/>
      <c r="X57" s="960"/>
      <c r="Y57" s="959"/>
      <c r="Z57" s="960"/>
      <c r="AA57" s="959"/>
      <c r="AB57" s="960"/>
      <c r="AC57" s="959"/>
      <c r="AD57" s="960"/>
      <c r="AE57" s="959"/>
      <c r="AF57" s="960"/>
      <c r="AG57" s="959"/>
      <c r="AH57" s="960">
        <v>147631256</v>
      </c>
      <c r="AI57" s="959">
        <v>167098709</v>
      </c>
      <c r="AJ57" s="960"/>
      <c r="AK57" s="959"/>
      <c r="AL57" s="960"/>
      <c r="AM57" s="959"/>
      <c r="AN57" s="960"/>
      <c r="AO57" s="959"/>
      <c r="AP57" s="960"/>
      <c r="AQ57" s="959"/>
      <c r="AR57" s="960"/>
      <c r="AS57" s="959"/>
      <c r="AT57" s="960"/>
      <c r="AU57" s="959"/>
      <c r="AV57" s="960">
        <f t="shared" si="0"/>
        <v>159347351</v>
      </c>
      <c r="AW57" s="449">
        <f t="shared" si="1"/>
        <v>179512593</v>
      </c>
      <c r="AX57" s="960"/>
      <c r="AY57" s="959"/>
      <c r="AZ57" s="962">
        <f t="shared" si="5"/>
        <v>159347351</v>
      </c>
      <c r="BA57" s="449">
        <f t="shared" si="6"/>
        <v>179512593</v>
      </c>
    </row>
    <row r="58" spans="1:53" ht="18">
      <c r="A58" s="957" t="s">
        <v>291</v>
      </c>
      <c r="B58" s="1001">
        <v>315439883</v>
      </c>
      <c r="C58" s="1003">
        <v>355493175</v>
      </c>
      <c r="D58" s="971">
        <v>33089436</v>
      </c>
      <c r="E58" s="970">
        <v>35955007</v>
      </c>
      <c r="F58" s="971">
        <v>98835105</v>
      </c>
      <c r="G58" s="970">
        <v>103661065</v>
      </c>
      <c r="H58" s="971">
        <v>443590898</v>
      </c>
      <c r="I58" s="970">
        <v>493998054</v>
      </c>
      <c r="J58" s="971">
        <v>53286565</v>
      </c>
      <c r="K58" s="970">
        <v>61536425</v>
      </c>
      <c r="L58" s="971">
        <v>101260527</v>
      </c>
      <c r="M58" s="970">
        <v>116550709</v>
      </c>
      <c r="N58" s="971">
        <v>24807044</v>
      </c>
      <c r="O58" s="970">
        <v>31010325</v>
      </c>
      <c r="P58" s="971">
        <v>18211946</v>
      </c>
      <c r="Q58" s="970">
        <v>22576549</v>
      </c>
      <c r="R58" s="971">
        <v>105234378</v>
      </c>
      <c r="S58" s="970">
        <v>120689840</v>
      </c>
      <c r="T58" s="971">
        <v>39035356</v>
      </c>
      <c r="U58" s="970">
        <v>42461053</v>
      </c>
      <c r="V58" s="971">
        <v>740453808</v>
      </c>
      <c r="W58" s="970">
        <v>912860193</v>
      </c>
      <c r="X58" s="971">
        <v>1025637072</v>
      </c>
      <c r="Y58" s="970">
        <v>1219042924</v>
      </c>
      <c r="Z58" s="971">
        <v>52234372</v>
      </c>
      <c r="AA58" s="970">
        <v>63559479</v>
      </c>
      <c r="AB58" s="971">
        <v>92047478</v>
      </c>
      <c r="AC58" s="970">
        <v>109915940</v>
      </c>
      <c r="AD58" s="971">
        <v>167058703</v>
      </c>
      <c r="AE58" s="970">
        <v>208005322</v>
      </c>
      <c r="AF58" s="971">
        <v>359855530</v>
      </c>
      <c r="AG58" s="970">
        <v>447350092</v>
      </c>
      <c r="AH58" s="971"/>
      <c r="AI58" s="970"/>
      <c r="AJ58" s="971">
        <v>158744398</v>
      </c>
      <c r="AK58" s="970">
        <v>177980722</v>
      </c>
      <c r="AL58" s="971">
        <v>12929706</v>
      </c>
      <c r="AM58" s="970">
        <v>13754317</v>
      </c>
      <c r="AN58" s="971">
        <v>807245585</v>
      </c>
      <c r="AO58" s="970">
        <v>992252464</v>
      </c>
      <c r="AP58" s="971">
        <v>26130253</v>
      </c>
      <c r="AQ58" s="970">
        <v>31404322</v>
      </c>
      <c r="AR58" s="971">
        <v>58327777</v>
      </c>
      <c r="AS58" s="970">
        <v>65262681</v>
      </c>
      <c r="AT58" s="971">
        <v>194952247</v>
      </c>
      <c r="AU58" s="970">
        <v>217091589</v>
      </c>
      <c r="AV58" s="960">
        <f t="shared" si="0"/>
        <v>4928408067</v>
      </c>
      <c r="AW58" s="449">
        <f t="shared" si="1"/>
        <v>5842412247</v>
      </c>
      <c r="AX58" s="971">
        <v>21708078534</v>
      </c>
      <c r="AY58" s="970">
        <v>25291466690</v>
      </c>
      <c r="AZ58" s="962">
        <f t="shared" si="5"/>
        <v>26636486601</v>
      </c>
      <c r="BA58" s="449">
        <f t="shared" si="6"/>
        <v>31133878937</v>
      </c>
    </row>
    <row r="59" spans="1:53" ht="16.5">
      <c r="A59" s="957" t="s">
        <v>302</v>
      </c>
      <c r="B59" s="962"/>
      <c r="C59" s="959"/>
      <c r="D59" s="960"/>
      <c r="E59" s="959"/>
      <c r="F59" s="960"/>
      <c r="G59" s="959"/>
      <c r="H59" s="960"/>
      <c r="I59" s="959"/>
      <c r="J59" s="960"/>
      <c r="K59" s="959"/>
      <c r="L59" s="960"/>
      <c r="M59" s="959"/>
      <c r="N59" s="960"/>
      <c r="O59" s="959"/>
      <c r="P59" s="960"/>
      <c r="Q59" s="959"/>
      <c r="R59" s="960"/>
      <c r="S59" s="959"/>
      <c r="T59" s="960"/>
      <c r="U59" s="959"/>
      <c r="V59" s="960"/>
      <c r="W59" s="959"/>
      <c r="X59" s="960"/>
      <c r="Y59" s="959"/>
      <c r="Z59" s="960"/>
      <c r="AA59" s="959"/>
      <c r="AB59" s="960"/>
      <c r="AC59" s="959"/>
      <c r="AD59" s="960"/>
      <c r="AE59" s="959"/>
      <c r="AF59" s="960"/>
      <c r="AG59" s="959"/>
      <c r="AH59" s="960"/>
      <c r="AI59" s="959"/>
      <c r="AJ59" s="960"/>
      <c r="AK59" s="959"/>
      <c r="AL59" s="960"/>
      <c r="AM59" s="959"/>
      <c r="AN59" s="960"/>
      <c r="AO59" s="959"/>
      <c r="AP59" s="960"/>
      <c r="AQ59" s="959"/>
      <c r="AR59" s="960"/>
      <c r="AS59" s="959"/>
      <c r="AT59" s="960"/>
      <c r="AU59" s="959"/>
      <c r="AV59" s="960">
        <f t="shared" si="0"/>
        <v>0</v>
      </c>
      <c r="AW59" s="449">
        <f t="shared" si="1"/>
        <v>0</v>
      </c>
      <c r="AX59" s="960"/>
      <c r="AY59" s="959"/>
      <c r="AZ59" s="962">
        <f t="shared" si="5"/>
        <v>0</v>
      </c>
      <c r="BA59" s="449">
        <f t="shared" si="6"/>
        <v>0</v>
      </c>
    </row>
    <row r="60" spans="1:53" ht="16.5">
      <c r="A60" s="957" t="s">
        <v>0</v>
      </c>
      <c r="B60" s="962"/>
      <c r="C60" s="959"/>
      <c r="D60" s="960"/>
      <c r="E60" s="959"/>
      <c r="F60" s="960"/>
      <c r="G60" s="959"/>
      <c r="H60" s="960"/>
      <c r="I60" s="959"/>
      <c r="J60" s="960"/>
      <c r="K60" s="959"/>
      <c r="L60" s="960"/>
      <c r="M60" s="959"/>
      <c r="N60" s="960"/>
      <c r="O60" s="959"/>
      <c r="P60" s="960"/>
      <c r="Q60" s="959"/>
      <c r="R60" s="960"/>
      <c r="S60" s="959"/>
      <c r="T60" s="960"/>
      <c r="U60" s="959"/>
      <c r="V60" s="960"/>
      <c r="W60" s="959"/>
      <c r="X60" s="960"/>
      <c r="Y60" s="959"/>
      <c r="Z60" s="960"/>
      <c r="AA60" s="959"/>
      <c r="AB60" s="960"/>
      <c r="AC60" s="959"/>
      <c r="AD60" s="960"/>
      <c r="AE60" s="959"/>
      <c r="AF60" s="960"/>
      <c r="AG60" s="959"/>
      <c r="AH60" s="960"/>
      <c r="AI60" s="959"/>
      <c r="AJ60" s="960"/>
      <c r="AK60" s="959"/>
      <c r="AL60" s="960"/>
      <c r="AM60" s="959"/>
      <c r="AN60" s="960"/>
      <c r="AO60" s="959"/>
      <c r="AP60" s="960"/>
      <c r="AQ60" s="959"/>
      <c r="AR60" s="960"/>
      <c r="AS60" s="959"/>
      <c r="AT60" s="960"/>
      <c r="AU60" s="959"/>
      <c r="AV60" s="960">
        <f t="shared" si="0"/>
        <v>0</v>
      </c>
      <c r="AW60" s="449">
        <f t="shared" si="1"/>
        <v>0</v>
      </c>
      <c r="AX60" s="960"/>
      <c r="AY60" s="959"/>
      <c r="AZ60" s="962">
        <f t="shared" si="5"/>
        <v>0</v>
      </c>
      <c r="BA60" s="449">
        <f t="shared" si="6"/>
        <v>0</v>
      </c>
    </row>
    <row r="61" spans="1:53" ht="16.5">
      <c r="A61" s="956" t="s">
        <v>303</v>
      </c>
      <c r="B61" s="962"/>
      <c r="C61" s="959">
        <v>255</v>
      </c>
      <c r="D61" s="960"/>
      <c r="E61" s="959"/>
      <c r="F61" s="960"/>
      <c r="G61" s="959"/>
      <c r="H61" s="960"/>
      <c r="I61" s="959"/>
      <c r="J61" s="960"/>
      <c r="K61" s="959"/>
      <c r="L61" s="960"/>
      <c r="M61" s="959"/>
      <c r="N61" s="960"/>
      <c r="O61" s="959"/>
      <c r="P61" s="960"/>
      <c r="Q61" s="959"/>
      <c r="R61" s="960"/>
      <c r="S61" s="959"/>
      <c r="T61" s="960"/>
      <c r="U61" s="959"/>
      <c r="V61" s="960"/>
      <c r="W61" s="959">
        <v>5650000</v>
      </c>
      <c r="X61" s="960"/>
      <c r="Y61" s="959"/>
      <c r="Z61" s="960"/>
      <c r="AA61" s="959"/>
      <c r="AB61" s="960"/>
      <c r="AC61" s="959"/>
      <c r="AD61" s="960">
        <v>109500</v>
      </c>
      <c r="AE61" s="959">
        <v>330360</v>
      </c>
      <c r="AF61" s="960"/>
      <c r="AG61" s="959"/>
      <c r="AH61" s="960"/>
      <c r="AI61" s="959"/>
      <c r="AJ61" s="960">
        <v>72770</v>
      </c>
      <c r="AK61" s="959">
        <v>150320</v>
      </c>
      <c r="AL61" s="960"/>
      <c r="AM61" s="959"/>
      <c r="AN61" s="960"/>
      <c r="AO61" s="959"/>
      <c r="AP61" s="960"/>
      <c r="AQ61" s="959"/>
      <c r="AR61" s="960"/>
      <c r="AS61" s="959"/>
      <c r="AT61" s="960"/>
      <c r="AU61" s="959"/>
      <c r="AV61" s="960">
        <f t="shared" si="0"/>
        <v>182270</v>
      </c>
      <c r="AW61" s="449">
        <f t="shared" si="1"/>
        <v>6130935</v>
      </c>
      <c r="AX61" s="960">
        <v>2004</v>
      </c>
      <c r="AY61" s="959">
        <v>2004</v>
      </c>
      <c r="AZ61" s="962">
        <f t="shared" si="5"/>
        <v>184274</v>
      </c>
      <c r="BA61" s="449">
        <f t="shared" si="6"/>
        <v>6132939</v>
      </c>
    </row>
    <row r="62" spans="1:53" ht="16.5">
      <c r="A62" s="956" t="s">
        <v>304</v>
      </c>
      <c r="B62" s="962">
        <v>24764</v>
      </c>
      <c r="C62" s="959">
        <v>100325</v>
      </c>
      <c r="D62" s="960"/>
      <c r="E62" s="959"/>
      <c r="F62" s="960">
        <v>12289</v>
      </c>
      <c r="G62" s="959">
        <v>25023</v>
      </c>
      <c r="H62" s="960"/>
      <c r="I62" s="959"/>
      <c r="J62" s="960"/>
      <c r="K62" s="959"/>
      <c r="L62" s="960">
        <v>10982</v>
      </c>
      <c r="M62" s="959"/>
      <c r="N62" s="960">
        <v>3675</v>
      </c>
      <c r="O62" s="959">
        <v>3328</v>
      </c>
      <c r="P62" s="960"/>
      <c r="Q62" s="959"/>
      <c r="R62" s="960"/>
      <c r="S62" s="959"/>
      <c r="T62" s="960"/>
      <c r="U62" s="959"/>
      <c r="V62" s="960">
        <v>7766</v>
      </c>
      <c r="W62" s="959">
        <v>7709</v>
      </c>
      <c r="X62" s="960">
        <f>534+39420+4076</f>
        <v>44030</v>
      </c>
      <c r="Y62" s="959">
        <f>1034+37971+5182</f>
        <v>44187</v>
      </c>
      <c r="Z62" s="960">
        <v>26</v>
      </c>
      <c r="AA62" s="959">
        <v>294</v>
      </c>
      <c r="AB62" s="960"/>
      <c r="AC62" s="959"/>
      <c r="AD62" s="960"/>
      <c r="AE62" s="959">
        <v>2845</v>
      </c>
      <c r="AF62" s="960">
        <v>99702</v>
      </c>
      <c r="AG62" s="959">
        <v>110425</v>
      </c>
      <c r="AH62" s="960">
        <v>49814</v>
      </c>
      <c r="AI62" s="959">
        <v>58722</v>
      </c>
      <c r="AJ62" s="960">
        <v>18269</v>
      </c>
      <c r="AK62" s="959">
        <v>13941</v>
      </c>
      <c r="AL62" s="960"/>
      <c r="AM62" s="959"/>
      <c r="AN62" s="960">
        <v>6190</v>
      </c>
      <c r="AO62" s="959">
        <v>6034</v>
      </c>
      <c r="AP62" s="960"/>
      <c r="AQ62" s="959"/>
      <c r="AR62" s="960"/>
      <c r="AS62" s="959"/>
      <c r="AT62" s="960">
        <v>16058</v>
      </c>
      <c r="AU62" s="959">
        <v>18991</v>
      </c>
      <c r="AV62" s="960">
        <f t="shared" si="0"/>
        <v>293565</v>
      </c>
      <c r="AW62" s="449">
        <f t="shared" si="1"/>
        <v>391824</v>
      </c>
      <c r="AX62" s="960">
        <v>147164</v>
      </c>
      <c r="AY62" s="959">
        <v>1098762</v>
      </c>
      <c r="AZ62" s="962">
        <f t="shared" si="5"/>
        <v>440729</v>
      </c>
      <c r="BA62" s="449">
        <f t="shared" si="6"/>
        <v>1490586</v>
      </c>
    </row>
    <row r="63" spans="1:53" ht="16.5">
      <c r="A63" s="956" t="s">
        <v>305</v>
      </c>
      <c r="B63" s="962"/>
      <c r="C63" s="959"/>
      <c r="D63" s="960"/>
      <c r="E63" s="959"/>
      <c r="F63" s="960"/>
      <c r="G63" s="959"/>
      <c r="H63" s="960"/>
      <c r="I63" s="959"/>
      <c r="J63" s="960"/>
      <c r="K63" s="959"/>
      <c r="L63" s="960"/>
      <c r="M63" s="959"/>
      <c r="N63" s="960"/>
      <c r="O63" s="959"/>
      <c r="P63" s="960"/>
      <c r="Q63" s="959"/>
      <c r="R63" s="960"/>
      <c r="S63" s="959"/>
      <c r="T63" s="960"/>
      <c r="U63" s="959"/>
      <c r="V63" s="960"/>
      <c r="W63" s="959"/>
      <c r="X63" s="960"/>
      <c r="Y63" s="959"/>
      <c r="Z63" s="960"/>
      <c r="AA63" s="959"/>
      <c r="AB63" s="960"/>
      <c r="AC63" s="959"/>
      <c r="AD63" s="960"/>
      <c r="AE63" s="959"/>
      <c r="AF63" s="960"/>
      <c r="AG63" s="959"/>
      <c r="AH63" s="960"/>
      <c r="AI63" s="959"/>
      <c r="AJ63" s="960"/>
      <c r="AK63" s="959"/>
      <c r="AL63" s="960"/>
      <c r="AM63" s="959"/>
      <c r="AN63" s="960"/>
      <c r="AO63" s="959"/>
      <c r="AP63" s="960"/>
      <c r="AQ63" s="959"/>
      <c r="AR63" s="960"/>
      <c r="AS63" s="959"/>
      <c r="AT63" s="960"/>
      <c r="AU63" s="959"/>
      <c r="AV63" s="960">
        <f t="shared" si="0"/>
        <v>0</v>
      </c>
      <c r="AW63" s="449">
        <f t="shared" si="1"/>
        <v>0</v>
      </c>
      <c r="AX63" s="960"/>
      <c r="AY63" s="959"/>
      <c r="AZ63" s="962">
        <f t="shared" si="5"/>
        <v>0</v>
      </c>
      <c r="BA63" s="449">
        <f t="shared" si="6"/>
        <v>0</v>
      </c>
    </row>
    <row r="64" spans="1:53" ht="16.5">
      <c r="A64" s="956" t="s">
        <v>306</v>
      </c>
      <c r="B64" s="962"/>
      <c r="C64" s="959"/>
      <c r="D64" s="960"/>
      <c r="E64" s="959"/>
      <c r="F64" s="960"/>
      <c r="G64" s="959"/>
      <c r="H64" s="960"/>
      <c r="I64" s="959"/>
      <c r="J64" s="960"/>
      <c r="K64" s="959"/>
      <c r="L64" s="960">
        <v>750</v>
      </c>
      <c r="M64" s="959">
        <v>750</v>
      </c>
      <c r="N64" s="960"/>
      <c r="O64" s="959"/>
      <c r="P64" s="960"/>
      <c r="Q64" s="959"/>
      <c r="R64" s="960"/>
      <c r="S64" s="959"/>
      <c r="T64" s="960"/>
      <c r="U64" s="959"/>
      <c r="V64" s="960">
        <v>937</v>
      </c>
      <c r="W64" s="959">
        <v>917</v>
      </c>
      <c r="X64" s="960"/>
      <c r="Y64" s="959"/>
      <c r="Z64" s="960"/>
      <c r="AA64" s="959"/>
      <c r="AB64" s="960"/>
      <c r="AC64" s="959"/>
      <c r="AD64" s="960">
        <v>1491</v>
      </c>
      <c r="AE64" s="959">
        <v>1491</v>
      </c>
      <c r="AF64" s="960"/>
      <c r="AG64" s="959"/>
      <c r="AH64" s="960"/>
      <c r="AI64" s="959"/>
      <c r="AJ64" s="960">
        <v>901</v>
      </c>
      <c r="AK64" s="959">
        <v>908</v>
      </c>
      <c r="AL64" s="960"/>
      <c r="AM64" s="959"/>
      <c r="AN64" s="960"/>
      <c r="AO64" s="959"/>
      <c r="AP64" s="960"/>
      <c r="AQ64" s="959"/>
      <c r="AR64" s="960"/>
      <c r="AS64" s="959"/>
      <c r="AT64" s="960">
        <v>5960</v>
      </c>
      <c r="AU64" s="959">
        <v>6460</v>
      </c>
      <c r="AV64" s="960">
        <f t="shared" si="0"/>
        <v>10039</v>
      </c>
      <c r="AW64" s="449">
        <f t="shared" si="1"/>
        <v>10526</v>
      </c>
      <c r="AX64" s="960"/>
      <c r="AY64" s="959"/>
      <c r="AZ64" s="962">
        <f t="shared" si="5"/>
        <v>10039</v>
      </c>
      <c r="BA64" s="449">
        <f t="shared" si="6"/>
        <v>10526</v>
      </c>
    </row>
    <row r="65" spans="1:53" ht="16.5">
      <c r="A65" s="956" t="s">
        <v>307</v>
      </c>
      <c r="B65" s="962"/>
      <c r="C65" s="959"/>
      <c r="D65" s="960">
        <v>413805</v>
      </c>
      <c r="E65" s="959">
        <v>94724</v>
      </c>
      <c r="F65" s="960"/>
      <c r="G65" s="959"/>
      <c r="H65" s="960">
        <v>469552</v>
      </c>
      <c r="I65" s="959">
        <v>775232</v>
      </c>
      <c r="J65" s="960"/>
      <c r="K65" s="959"/>
      <c r="L65" s="960">
        <v>784156</v>
      </c>
      <c r="M65" s="959">
        <v>830134</v>
      </c>
      <c r="N65" s="960">
        <v>70553</v>
      </c>
      <c r="O65" s="959">
        <v>29193</v>
      </c>
      <c r="P65" s="960">
        <v>49804</v>
      </c>
      <c r="Q65" s="959">
        <v>75232</v>
      </c>
      <c r="R65" s="960">
        <v>2435800</v>
      </c>
      <c r="S65" s="959">
        <v>2821473</v>
      </c>
      <c r="T65" s="960">
        <v>1467</v>
      </c>
      <c r="U65" s="959">
        <v>1467</v>
      </c>
      <c r="V65" s="960">
        <v>992812</v>
      </c>
      <c r="W65" s="959">
        <v>997270</v>
      </c>
      <c r="X65" s="960">
        <v>1536996</v>
      </c>
      <c r="Y65" s="959">
        <v>1536996</v>
      </c>
      <c r="Z65" s="960">
        <v>1178341</v>
      </c>
      <c r="AA65" s="959">
        <v>1968308</v>
      </c>
      <c r="AB65" s="960">
        <v>221863</v>
      </c>
      <c r="AC65" s="959">
        <v>218408</v>
      </c>
      <c r="AD65" s="960">
        <v>2517833</v>
      </c>
      <c r="AE65" s="959">
        <v>2834246</v>
      </c>
      <c r="AF65" s="960">
        <v>5178550</v>
      </c>
      <c r="AG65" s="959">
        <v>4373294</v>
      </c>
      <c r="AH65" s="960">
        <v>1907594</v>
      </c>
      <c r="AI65" s="959">
        <v>1324850</v>
      </c>
      <c r="AJ65" s="960">
        <v>402577</v>
      </c>
      <c r="AK65" s="959">
        <v>1826725</v>
      </c>
      <c r="AL65" s="960">
        <v>316225</v>
      </c>
      <c r="AM65" s="959">
        <v>322006</v>
      </c>
      <c r="AN65" s="960">
        <v>605670</v>
      </c>
      <c r="AO65" s="959"/>
      <c r="AP65" s="960">
        <v>52523</v>
      </c>
      <c r="AQ65" s="959">
        <v>467507</v>
      </c>
      <c r="AR65" s="960">
        <v>34612</v>
      </c>
      <c r="AS65" s="959">
        <v>21697</v>
      </c>
      <c r="AT65" s="960">
        <v>8976469</v>
      </c>
      <c r="AU65" s="959">
        <v>8861302</v>
      </c>
      <c r="AV65" s="960">
        <f t="shared" si="0"/>
        <v>28147202</v>
      </c>
      <c r="AW65" s="449">
        <f t="shared" si="1"/>
        <v>29380064</v>
      </c>
      <c r="AX65" s="960">
        <v>128354602</v>
      </c>
      <c r="AY65" s="959">
        <v>156605752</v>
      </c>
      <c r="AZ65" s="962">
        <f t="shared" si="5"/>
        <v>156501804</v>
      </c>
      <c r="BA65" s="449">
        <f t="shared" si="6"/>
        <v>185985816</v>
      </c>
    </row>
    <row r="66" spans="1:53" ht="16.5">
      <c r="A66" s="956" t="s">
        <v>308</v>
      </c>
      <c r="B66" s="962"/>
      <c r="C66" s="959"/>
      <c r="D66" s="960"/>
      <c r="E66" s="959"/>
      <c r="F66" s="960"/>
      <c r="G66" s="959"/>
      <c r="H66" s="960"/>
      <c r="I66" s="959"/>
      <c r="J66" s="960"/>
      <c r="K66" s="959"/>
      <c r="L66" s="960"/>
      <c r="M66" s="959"/>
      <c r="N66" s="960"/>
      <c r="O66" s="959"/>
      <c r="P66" s="960"/>
      <c r="Q66" s="959"/>
      <c r="R66" s="960"/>
      <c r="S66" s="959"/>
      <c r="T66" s="960"/>
      <c r="U66" s="959"/>
      <c r="V66" s="960"/>
      <c r="W66" s="959"/>
      <c r="X66" s="960"/>
      <c r="Y66" s="959"/>
      <c r="Z66" s="960"/>
      <c r="AA66" s="959"/>
      <c r="AB66" s="960"/>
      <c r="AC66" s="959"/>
      <c r="AD66" s="960"/>
      <c r="AE66" s="959"/>
      <c r="AF66" s="960"/>
      <c r="AG66" s="959"/>
      <c r="AH66" s="960">
        <v>170122</v>
      </c>
      <c r="AI66" s="959">
        <v>265787</v>
      </c>
      <c r="AJ66" s="960"/>
      <c r="AK66" s="959"/>
      <c r="AL66" s="960"/>
      <c r="AM66" s="959"/>
      <c r="AN66" s="960"/>
      <c r="AO66" s="959"/>
      <c r="AP66" s="960"/>
      <c r="AQ66" s="959"/>
      <c r="AR66" s="960"/>
      <c r="AS66" s="959"/>
      <c r="AT66" s="960"/>
      <c r="AU66" s="959"/>
      <c r="AV66" s="960">
        <f t="shared" si="0"/>
        <v>170122</v>
      </c>
      <c r="AW66" s="449">
        <f t="shared" si="1"/>
        <v>265787</v>
      </c>
      <c r="AX66" s="960"/>
      <c r="AY66" s="959"/>
      <c r="AZ66" s="962">
        <f t="shared" si="5"/>
        <v>170122</v>
      </c>
      <c r="BA66" s="449">
        <f t="shared" si="6"/>
        <v>265787</v>
      </c>
    </row>
    <row r="67" spans="1:53" ht="16.5">
      <c r="A67" s="956" t="s">
        <v>309</v>
      </c>
      <c r="B67" s="962"/>
      <c r="C67" s="959"/>
      <c r="D67" s="960">
        <v>45520</v>
      </c>
      <c r="E67" s="959">
        <v>33925</v>
      </c>
      <c r="F67" s="960"/>
      <c r="G67" s="959"/>
      <c r="H67" s="960">
        <f>116277+149094</f>
        <v>265371</v>
      </c>
      <c r="I67" s="959">
        <f>381178+147164</f>
        <v>528342</v>
      </c>
      <c r="J67" s="960"/>
      <c r="K67" s="959"/>
      <c r="L67" s="960">
        <v>23933</v>
      </c>
      <c r="M67" s="959">
        <v>57629</v>
      </c>
      <c r="N67" s="960"/>
      <c r="O67" s="959"/>
      <c r="P67" s="960"/>
      <c r="Q67" s="959"/>
      <c r="R67" s="960"/>
      <c r="S67" s="959"/>
      <c r="T67" s="960">
        <v>8146</v>
      </c>
      <c r="U67" s="959">
        <v>2230</v>
      </c>
      <c r="V67" s="960"/>
      <c r="W67" s="959"/>
      <c r="X67" s="960"/>
      <c r="Y67" s="959"/>
      <c r="Z67" s="960"/>
      <c r="AA67" s="959"/>
      <c r="AB67" s="960">
        <v>194590</v>
      </c>
      <c r="AC67" s="959">
        <v>229904</v>
      </c>
      <c r="AD67" s="960"/>
      <c r="AE67" s="959"/>
      <c r="AF67" s="960"/>
      <c r="AG67" s="959"/>
      <c r="AH67" s="960"/>
      <c r="AI67" s="959"/>
      <c r="AJ67" s="960"/>
      <c r="AK67" s="959"/>
      <c r="AL67" s="960"/>
      <c r="AM67" s="959"/>
      <c r="AN67" s="960"/>
      <c r="AO67" s="959"/>
      <c r="AP67" s="960"/>
      <c r="AQ67" s="959"/>
      <c r="AR67" s="960"/>
      <c r="AS67" s="959"/>
      <c r="AT67" s="960"/>
      <c r="AU67" s="959"/>
      <c r="AV67" s="960">
        <f t="shared" si="0"/>
        <v>537560</v>
      </c>
      <c r="AW67" s="449">
        <f t="shared" si="1"/>
        <v>852030</v>
      </c>
      <c r="AX67" s="960"/>
      <c r="AY67" s="959"/>
      <c r="AZ67" s="962">
        <f t="shared" si="5"/>
        <v>537560</v>
      </c>
      <c r="BA67" s="449">
        <f t="shared" si="6"/>
        <v>852030</v>
      </c>
    </row>
    <row r="68" spans="1:53" ht="16.5">
      <c r="A68" s="956" t="s">
        <v>75</v>
      </c>
      <c r="B68" s="962">
        <v>221379</v>
      </c>
      <c r="C68" s="959">
        <v>227828</v>
      </c>
      <c r="D68" s="960">
        <v>1928</v>
      </c>
      <c r="E68" s="959">
        <v>1928</v>
      </c>
      <c r="F68" s="960"/>
      <c r="G68" s="959"/>
      <c r="H68" s="960"/>
      <c r="I68" s="959"/>
      <c r="J68" s="960"/>
      <c r="K68" s="959"/>
      <c r="L68" s="960"/>
      <c r="M68" s="959"/>
      <c r="N68" s="960">
        <f>8115+66349</f>
        <v>74464</v>
      </c>
      <c r="O68" s="959">
        <f>8115+53244</f>
        <v>61359</v>
      </c>
      <c r="P68" s="960">
        <v>7958</v>
      </c>
      <c r="Q68" s="959">
        <v>6859</v>
      </c>
      <c r="R68" s="960">
        <v>140455</v>
      </c>
      <c r="S68" s="959">
        <f>187356+375700</f>
        <v>563056</v>
      </c>
      <c r="T68" s="960"/>
      <c r="U68" s="959"/>
      <c r="V68" s="960"/>
      <c r="W68" s="959"/>
      <c r="X68" s="960">
        <f>101661+323802</f>
        <v>425463</v>
      </c>
      <c r="Y68" s="959">
        <f>86513+404963</f>
        <v>491476</v>
      </c>
      <c r="Z68" s="960">
        <v>102233</v>
      </c>
      <c r="AA68" s="959">
        <v>108461</v>
      </c>
      <c r="AB68" s="960"/>
      <c r="AC68" s="959"/>
      <c r="AD68" s="960">
        <v>105565</v>
      </c>
      <c r="AE68" s="959">
        <v>97473</v>
      </c>
      <c r="AF68" s="960">
        <v>100130</v>
      </c>
      <c r="AG68" s="959">
        <v>103430</v>
      </c>
      <c r="AH68" s="960"/>
      <c r="AI68" s="959"/>
      <c r="AJ68" s="960">
        <v>378350</v>
      </c>
      <c r="AK68" s="959">
        <v>423632</v>
      </c>
      <c r="AL68" s="960">
        <v>5701</v>
      </c>
      <c r="AM68" s="959">
        <v>5147</v>
      </c>
      <c r="AN68" s="960">
        <f>459952+3596122</f>
        <v>4056074</v>
      </c>
      <c r="AO68" s="959">
        <f>496844+3596122</f>
        <v>4092966</v>
      </c>
      <c r="AP68" s="960">
        <v>22522</v>
      </c>
      <c r="AQ68" s="959">
        <v>28381</v>
      </c>
      <c r="AR68" s="960">
        <f>54220+12330+7100</f>
        <v>73650</v>
      </c>
      <c r="AS68" s="959">
        <f>143992+16364+7100</f>
        <v>167456</v>
      </c>
      <c r="AT68" s="960">
        <f>10387+41232+87069</f>
        <v>138688</v>
      </c>
      <c r="AU68" s="959">
        <f>2387+49392+95546</f>
        <v>147325</v>
      </c>
      <c r="AV68" s="960">
        <f t="shared" si="0"/>
        <v>5854560</v>
      </c>
      <c r="AW68" s="449">
        <f t="shared" si="1"/>
        <v>6526777</v>
      </c>
      <c r="AX68" s="960">
        <v>2429582</v>
      </c>
      <c r="AY68" s="959">
        <v>4216366</v>
      </c>
      <c r="AZ68" s="962">
        <f t="shared" si="5"/>
        <v>8284142</v>
      </c>
      <c r="BA68" s="449">
        <f t="shared" si="6"/>
        <v>10743143</v>
      </c>
    </row>
    <row r="69" spans="1:53" ht="18.75" thickBot="1">
      <c r="A69" s="964" t="s">
        <v>54</v>
      </c>
      <c r="B69" s="966"/>
      <c r="C69" s="967"/>
      <c r="D69" s="965">
        <v>461253</v>
      </c>
      <c r="E69" s="967">
        <v>130577</v>
      </c>
      <c r="F69" s="965">
        <v>173042</v>
      </c>
      <c r="G69" s="967">
        <v>229223</v>
      </c>
      <c r="H69" s="965">
        <v>734923</v>
      </c>
      <c r="I69" s="967">
        <v>1303574</v>
      </c>
      <c r="J69" s="965"/>
      <c r="K69" s="967"/>
      <c r="L69" s="965">
        <v>819821</v>
      </c>
      <c r="M69" s="967">
        <v>888513</v>
      </c>
      <c r="N69" s="965">
        <v>148691</v>
      </c>
      <c r="O69" s="967">
        <v>93880</v>
      </c>
      <c r="P69" s="965"/>
      <c r="Q69" s="967"/>
      <c r="R69" s="965">
        <v>2576255</v>
      </c>
      <c r="S69" s="967">
        <v>3384529</v>
      </c>
      <c r="T69" s="965">
        <v>3697</v>
      </c>
      <c r="U69" s="967">
        <v>9613</v>
      </c>
      <c r="V69" s="965">
        <v>1001458</v>
      </c>
      <c r="W69" s="967">
        <v>6655953</v>
      </c>
      <c r="X69" s="965">
        <v>2006489</v>
      </c>
      <c r="Y69" s="967">
        <v>2072659</v>
      </c>
      <c r="Z69" s="965">
        <v>1280600</v>
      </c>
      <c r="AA69" s="967">
        <v>2077063</v>
      </c>
      <c r="AB69" s="965"/>
      <c r="AC69" s="967"/>
      <c r="AD69" s="965">
        <v>2734389</v>
      </c>
      <c r="AE69" s="967">
        <v>3266415</v>
      </c>
      <c r="AF69" s="965">
        <v>5378382</v>
      </c>
      <c r="AG69" s="967">
        <v>4587149</v>
      </c>
      <c r="AH69" s="965">
        <v>2127530</v>
      </c>
      <c r="AI69" s="967">
        <v>1649359</v>
      </c>
      <c r="AJ69" s="965">
        <v>872867</v>
      </c>
      <c r="AK69" s="967">
        <v>2415526</v>
      </c>
      <c r="AL69" s="965">
        <v>321926</v>
      </c>
      <c r="AM69" s="967">
        <v>327153</v>
      </c>
      <c r="AN69" s="965">
        <v>4667934</v>
      </c>
      <c r="AO69" s="967">
        <v>4099001</v>
      </c>
      <c r="AP69" s="965">
        <v>75044</v>
      </c>
      <c r="AQ69" s="967">
        <v>495889</v>
      </c>
      <c r="AR69" s="965"/>
      <c r="AS69" s="967"/>
      <c r="AT69" s="965">
        <v>9137175</v>
      </c>
      <c r="AU69" s="967">
        <v>9034078</v>
      </c>
      <c r="AV69" s="1004">
        <f>SUM(B69+D69+F69+H69+J69+L69+N69+P69+R69+T69+V69+X69+Z69+AB69+AD69+AF69+AH69+AJ69+AL69+AN69+AP69+AR69+AT69)</f>
        <v>34521476</v>
      </c>
      <c r="AW69" s="450">
        <f>SUM(C69+E69+G69+I69+K69+M69+O69+Q69+S69+U69+W69+Y69+AA69+AC69+AE69+AG69+AI69+AK69+AM69+AO69+AQ69+AS69+AU69)</f>
        <v>42720154</v>
      </c>
      <c r="AX69" s="965">
        <v>130933352</v>
      </c>
      <c r="AY69" s="967">
        <v>161922884</v>
      </c>
      <c r="AZ69" s="997">
        <f t="shared" si="5"/>
        <v>165454828</v>
      </c>
      <c r="BA69" s="450">
        <f t="shared" si="6"/>
        <v>204643038</v>
      </c>
    </row>
  </sheetData>
  <sheetProtection/>
  <mergeCells count="26">
    <mergeCell ref="AF1:AG1"/>
    <mergeCell ref="AX1:AY1"/>
    <mergeCell ref="AZ1:BA1"/>
    <mergeCell ref="AL1:AM1"/>
    <mergeCell ref="AN1:AO1"/>
    <mergeCell ref="AP1:AQ1"/>
    <mergeCell ref="AR1:AS1"/>
    <mergeCell ref="AT1:AU1"/>
    <mergeCell ref="AV1:AW1"/>
    <mergeCell ref="AH1:AI1"/>
    <mergeCell ref="AJ1:AK1"/>
    <mergeCell ref="N1:O1"/>
    <mergeCell ref="R1:S1"/>
    <mergeCell ref="T1:U1"/>
    <mergeCell ref="V1:W1"/>
    <mergeCell ref="X1:Y1"/>
    <mergeCell ref="Z1:AA1"/>
    <mergeCell ref="AB1:AC1"/>
    <mergeCell ref="AD1:AE1"/>
    <mergeCell ref="B1:C1"/>
    <mergeCell ref="D1:E1"/>
    <mergeCell ref="F1:G1"/>
    <mergeCell ref="H1:I1"/>
    <mergeCell ref="J1:K1"/>
    <mergeCell ref="P1:Q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E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19" sqref="G19"/>
    </sheetView>
  </sheetViews>
  <sheetFormatPr defaultColWidth="9.140625" defaultRowHeight="15"/>
  <cols>
    <col min="1" max="1" width="30.421875" style="0" bestFit="1" customWidth="1"/>
    <col min="2" max="2" width="12.421875" style="0" bestFit="1" customWidth="1"/>
    <col min="3" max="3" width="13.28125" style="0" bestFit="1" customWidth="1"/>
    <col min="4" max="4" width="12.00390625" style="0" customWidth="1"/>
    <col min="5" max="5" width="12.8515625" style="0" bestFit="1" customWidth="1"/>
    <col min="6" max="6" width="12.421875" style="0" bestFit="1" customWidth="1"/>
    <col min="7" max="7" width="13.28125" style="0" bestFit="1" customWidth="1"/>
    <col min="8" max="8" width="10.8515625" style="0" customWidth="1"/>
    <col min="9" max="9" width="11.57421875" style="0" customWidth="1"/>
    <col min="10" max="10" width="12.421875" style="0" bestFit="1" customWidth="1"/>
    <col min="11" max="11" width="13.28125" style="0" bestFit="1" customWidth="1"/>
    <col min="12" max="12" width="12.421875" style="0" bestFit="1" customWidth="1"/>
    <col min="13" max="13" width="13.28125" style="0" bestFit="1" customWidth="1"/>
    <col min="14" max="14" width="12.421875" style="0" bestFit="1" customWidth="1"/>
    <col min="15" max="15" width="13.28125" style="0" bestFit="1" customWidth="1"/>
    <col min="16" max="16" width="12.421875" style="0" bestFit="1" customWidth="1"/>
    <col min="17" max="17" width="13.28125" style="0" bestFit="1" customWidth="1"/>
    <col min="18" max="18" width="12.421875" style="0" bestFit="1" customWidth="1"/>
    <col min="19" max="19" width="13.28125" style="0" bestFit="1" customWidth="1"/>
    <col min="20" max="20" width="9.00390625" style="0" customWidth="1"/>
    <col min="21" max="21" width="13.28125" style="0" bestFit="1" customWidth="1"/>
    <col min="22" max="22" width="12.421875" style="0" bestFit="1" customWidth="1"/>
    <col min="23" max="23" width="13.28125" style="0" bestFit="1" customWidth="1"/>
    <col min="24" max="24" width="12.421875" style="0" bestFit="1" customWidth="1"/>
    <col min="25" max="25" width="13.28125" style="0" customWidth="1"/>
    <col min="26" max="26" width="12.421875" style="0" bestFit="1" customWidth="1"/>
    <col min="27" max="27" width="13.28125" style="0" bestFit="1" customWidth="1"/>
    <col min="28" max="28" width="12.421875" style="0" bestFit="1" customWidth="1"/>
    <col min="29" max="29" width="13.28125" style="0" bestFit="1" customWidth="1"/>
    <col min="30" max="30" width="12.421875" style="0" bestFit="1" customWidth="1"/>
    <col min="31" max="31" width="13.28125" style="0" bestFit="1" customWidth="1"/>
    <col min="32" max="32" width="12.421875" style="0" bestFit="1" customWidth="1"/>
    <col min="33" max="33" width="13.28125" style="0" bestFit="1" customWidth="1"/>
    <col min="34" max="34" width="12.421875" style="0" bestFit="1" customWidth="1"/>
    <col min="35" max="35" width="13.28125" style="0" bestFit="1" customWidth="1"/>
    <col min="36" max="36" width="12.421875" style="0" bestFit="1" customWidth="1"/>
    <col min="37" max="37" width="13.28125" style="0" bestFit="1" customWidth="1"/>
    <col min="38" max="38" width="12.421875" style="0" bestFit="1" customWidth="1"/>
    <col min="39" max="39" width="13.28125" style="0" bestFit="1" customWidth="1"/>
    <col min="40" max="40" width="12.421875" style="0" bestFit="1" customWidth="1"/>
    <col min="41" max="41" width="13.28125" style="0" bestFit="1" customWidth="1"/>
    <col min="42" max="42" width="12.421875" style="0" bestFit="1" customWidth="1"/>
    <col min="43" max="43" width="13.28125" style="0" bestFit="1" customWidth="1"/>
    <col min="44" max="44" width="12.421875" style="0" bestFit="1" customWidth="1"/>
    <col min="45" max="45" width="13.28125" style="0" bestFit="1" customWidth="1"/>
    <col min="46" max="46" width="12.421875" style="0" bestFit="1" customWidth="1"/>
    <col min="47" max="47" width="11.28125" style="0" customWidth="1"/>
    <col min="48" max="48" width="12.8515625" style="0" bestFit="1" customWidth="1"/>
    <col min="49" max="49" width="12.28125" style="0" customWidth="1"/>
    <col min="50" max="50" width="12.421875" style="0" bestFit="1" customWidth="1"/>
    <col min="51" max="51" width="16.28125" style="0" customWidth="1"/>
    <col min="52" max="52" width="11.8515625" style="0" customWidth="1"/>
    <col min="53" max="53" width="13.140625" style="0" customWidth="1"/>
    <col min="54" max="54" width="10.7109375" style="0" customWidth="1"/>
    <col min="55" max="55" width="12.00390625" style="0" customWidth="1"/>
  </cols>
  <sheetData>
    <row r="1" spans="1:51" s="115" customFormat="1" ht="18">
      <c r="A1" s="1007" t="s">
        <v>58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1007"/>
      <c r="S1" s="1007"/>
      <c r="T1" s="1007"/>
      <c r="U1" s="1007"/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1007"/>
      <c r="AO1" s="1007"/>
      <c r="AP1" s="1007"/>
      <c r="AQ1" s="1007"/>
      <c r="AR1" s="1007"/>
      <c r="AS1" s="1007"/>
      <c r="AT1" s="1007"/>
      <c r="AU1" s="1007"/>
      <c r="AV1" s="1007"/>
      <c r="AW1" s="1007"/>
      <c r="AX1" s="1007"/>
      <c r="AY1" s="1007"/>
    </row>
    <row r="2" spans="1:51" s="499" customFormat="1" ht="17.25" thickBot="1">
      <c r="A2" s="1032" t="s">
        <v>59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032"/>
      <c r="Q2" s="1032"/>
      <c r="R2" s="1032"/>
      <c r="S2" s="1032"/>
      <c r="T2" s="1032"/>
      <c r="U2" s="1032"/>
      <c r="V2" s="1032"/>
      <c r="W2" s="1032"/>
      <c r="X2" s="1032"/>
      <c r="Y2" s="1032"/>
      <c r="Z2" s="1032"/>
      <c r="AA2" s="1032"/>
      <c r="AB2" s="1032"/>
      <c r="AC2" s="1032"/>
      <c r="AD2" s="1032"/>
      <c r="AE2" s="1032"/>
      <c r="AF2" s="1032"/>
      <c r="AG2" s="1032"/>
      <c r="AH2" s="1032"/>
      <c r="AI2" s="1032"/>
      <c r="AJ2" s="1032"/>
      <c r="AK2" s="1032"/>
      <c r="AL2" s="1032"/>
      <c r="AM2" s="1032"/>
      <c r="AN2" s="1032"/>
      <c r="AO2" s="1032"/>
      <c r="AP2" s="1032"/>
      <c r="AQ2" s="1032"/>
      <c r="AR2" s="1032"/>
      <c r="AS2" s="1032"/>
      <c r="AT2" s="1032"/>
      <c r="AU2" s="1032"/>
      <c r="AV2" s="1032"/>
      <c r="AW2" s="1032"/>
      <c r="AX2" s="1032"/>
      <c r="AY2" s="1032"/>
    </row>
    <row r="3" spans="1:53" s="823" customFormat="1" ht="46.5" customHeight="1" thickBot="1">
      <c r="A3" s="1033" t="s">
        <v>0</v>
      </c>
      <c r="B3" s="1042" t="s">
        <v>117</v>
      </c>
      <c r="C3" s="1043"/>
      <c r="D3" s="1037" t="s">
        <v>118</v>
      </c>
      <c r="E3" s="1041"/>
      <c r="F3" s="1037" t="s">
        <v>119</v>
      </c>
      <c r="G3" s="1038"/>
      <c r="H3" s="1037" t="s">
        <v>120</v>
      </c>
      <c r="I3" s="1038"/>
      <c r="J3" s="1037" t="s">
        <v>121</v>
      </c>
      <c r="K3" s="1038"/>
      <c r="L3" s="1037" t="s">
        <v>122</v>
      </c>
      <c r="M3" s="1038"/>
      <c r="N3" s="1037" t="s">
        <v>123</v>
      </c>
      <c r="O3" s="1038"/>
      <c r="P3" s="1037" t="s">
        <v>124</v>
      </c>
      <c r="Q3" s="1038"/>
      <c r="R3" s="1037" t="s">
        <v>125</v>
      </c>
      <c r="S3" s="1038"/>
      <c r="T3" s="1037" t="s">
        <v>126</v>
      </c>
      <c r="U3" s="1038"/>
      <c r="V3" s="1037" t="s">
        <v>127</v>
      </c>
      <c r="W3" s="1038"/>
      <c r="X3" s="1037" t="s">
        <v>128</v>
      </c>
      <c r="Y3" s="1038"/>
      <c r="Z3" s="1041" t="s">
        <v>129</v>
      </c>
      <c r="AA3" s="1038"/>
      <c r="AB3" s="1037" t="s">
        <v>130</v>
      </c>
      <c r="AC3" s="1038"/>
      <c r="AD3" s="1035" t="s">
        <v>131</v>
      </c>
      <c r="AE3" s="1036"/>
      <c r="AF3" s="1037" t="s">
        <v>132</v>
      </c>
      <c r="AG3" s="1038"/>
      <c r="AH3" s="1041" t="s">
        <v>133</v>
      </c>
      <c r="AI3" s="1038"/>
      <c r="AJ3" s="1037" t="s">
        <v>134</v>
      </c>
      <c r="AK3" s="1038"/>
      <c r="AL3" s="1035" t="s">
        <v>135</v>
      </c>
      <c r="AM3" s="1036"/>
      <c r="AN3" s="1037" t="s">
        <v>136</v>
      </c>
      <c r="AO3" s="1038"/>
      <c r="AP3" s="1037" t="s">
        <v>137</v>
      </c>
      <c r="AQ3" s="1038"/>
      <c r="AR3" s="1041" t="s">
        <v>138</v>
      </c>
      <c r="AS3" s="1038"/>
      <c r="AT3" s="1041" t="s">
        <v>139</v>
      </c>
      <c r="AU3" s="1038"/>
      <c r="AV3" s="1037" t="s">
        <v>1</v>
      </c>
      <c r="AW3" s="1041"/>
      <c r="AX3" s="1039" t="s">
        <v>140</v>
      </c>
      <c r="AY3" s="1040"/>
      <c r="AZ3" s="1035" t="s">
        <v>2</v>
      </c>
      <c r="BA3" s="1036"/>
    </row>
    <row r="4" spans="1:53" s="500" customFormat="1" ht="16.5" thickBot="1">
      <c r="A4" s="1034"/>
      <c r="B4" s="536" t="s">
        <v>246</v>
      </c>
      <c r="C4" s="536" t="s">
        <v>247</v>
      </c>
      <c r="D4" s="536" t="s">
        <v>246</v>
      </c>
      <c r="E4" s="536" t="s">
        <v>247</v>
      </c>
      <c r="F4" s="536" t="s">
        <v>246</v>
      </c>
      <c r="G4" s="536" t="s">
        <v>247</v>
      </c>
      <c r="H4" s="536" t="s">
        <v>246</v>
      </c>
      <c r="I4" s="536" t="s">
        <v>247</v>
      </c>
      <c r="J4" s="536" t="s">
        <v>246</v>
      </c>
      <c r="K4" s="536" t="s">
        <v>247</v>
      </c>
      <c r="L4" s="536" t="s">
        <v>246</v>
      </c>
      <c r="M4" s="536" t="s">
        <v>247</v>
      </c>
      <c r="N4" s="536" t="s">
        <v>246</v>
      </c>
      <c r="O4" s="536" t="s">
        <v>247</v>
      </c>
      <c r="P4" s="536" t="s">
        <v>246</v>
      </c>
      <c r="Q4" s="536" t="s">
        <v>247</v>
      </c>
      <c r="R4" s="536" t="s">
        <v>246</v>
      </c>
      <c r="S4" s="536" t="s">
        <v>247</v>
      </c>
      <c r="T4" s="536" t="s">
        <v>246</v>
      </c>
      <c r="U4" s="536" t="s">
        <v>247</v>
      </c>
      <c r="V4" s="536" t="s">
        <v>246</v>
      </c>
      <c r="W4" s="536" t="s">
        <v>247</v>
      </c>
      <c r="X4" s="536" t="s">
        <v>246</v>
      </c>
      <c r="Y4" s="536" t="s">
        <v>247</v>
      </c>
      <c r="Z4" s="536" t="s">
        <v>246</v>
      </c>
      <c r="AA4" s="536" t="s">
        <v>247</v>
      </c>
      <c r="AB4" s="536" t="s">
        <v>246</v>
      </c>
      <c r="AC4" s="536" t="s">
        <v>247</v>
      </c>
      <c r="AD4" s="536" t="s">
        <v>246</v>
      </c>
      <c r="AE4" s="536" t="s">
        <v>247</v>
      </c>
      <c r="AF4" s="536" t="s">
        <v>246</v>
      </c>
      <c r="AG4" s="536" t="s">
        <v>247</v>
      </c>
      <c r="AH4" s="536" t="s">
        <v>246</v>
      </c>
      <c r="AI4" s="536" t="s">
        <v>247</v>
      </c>
      <c r="AJ4" s="536" t="s">
        <v>246</v>
      </c>
      <c r="AK4" s="536" t="s">
        <v>247</v>
      </c>
      <c r="AL4" s="536" t="s">
        <v>246</v>
      </c>
      <c r="AM4" s="536" t="s">
        <v>247</v>
      </c>
      <c r="AN4" s="536" t="s">
        <v>246</v>
      </c>
      <c r="AO4" s="536" t="s">
        <v>247</v>
      </c>
      <c r="AP4" s="536" t="s">
        <v>246</v>
      </c>
      <c r="AQ4" s="536" t="s">
        <v>247</v>
      </c>
      <c r="AR4" s="536" t="s">
        <v>246</v>
      </c>
      <c r="AS4" s="536" t="s">
        <v>247</v>
      </c>
      <c r="AT4" s="536" t="s">
        <v>246</v>
      </c>
      <c r="AU4" s="536" t="s">
        <v>247</v>
      </c>
      <c r="AV4" s="536" t="s">
        <v>246</v>
      </c>
      <c r="AW4" s="542" t="s">
        <v>247</v>
      </c>
      <c r="AX4" s="533" t="s">
        <v>246</v>
      </c>
      <c r="AY4" s="536" t="s">
        <v>247</v>
      </c>
      <c r="AZ4" s="533" t="s">
        <v>246</v>
      </c>
      <c r="BA4" s="536" t="s">
        <v>247</v>
      </c>
    </row>
    <row r="5" spans="1:53" s="120" customFormat="1" ht="14.25">
      <c r="A5" s="388" t="s">
        <v>21</v>
      </c>
      <c r="B5" s="191"/>
      <c r="C5" s="192"/>
      <c r="D5" s="191"/>
      <c r="E5" s="196"/>
      <c r="F5" s="190"/>
      <c r="G5" s="192"/>
      <c r="H5" s="191"/>
      <c r="I5" s="192"/>
      <c r="J5" s="191"/>
      <c r="K5" s="196"/>
      <c r="L5" s="191"/>
      <c r="M5" s="192"/>
      <c r="N5" s="191"/>
      <c r="O5" s="192"/>
      <c r="P5" s="191"/>
      <c r="Q5" s="192"/>
      <c r="R5" s="191"/>
      <c r="S5" s="192"/>
      <c r="T5" s="191"/>
      <c r="U5" s="192"/>
      <c r="V5" s="195"/>
      <c r="W5" s="198"/>
      <c r="X5" s="242"/>
      <c r="Y5" s="653"/>
      <c r="Z5" s="242"/>
      <c r="AA5" s="243"/>
      <c r="AB5" s="191"/>
      <c r="AC5" s="192"/>
      <c r="AD5" s="191"/>
      <c r="AE5" s="196"/>
      <c r="AF5" s="242"/>
      <c r="AG5" s="653"/>
      <c r="AH5" s="242"/>
      <c r="AI5" s="243"/>
      <c r="AJ5" s="191"/>
      <c r="AK5" s="196"/>
      <c r="AL5" s="242"/>
      <c r="AM5" s="653"/>
      <c r="AN5" s="242"/>
      <c r="AO5" s="243"/>
      <c r="AP5" s="191"/>
      <c r="AQ5" s="196"/>
      <c r="AR5" s="242"/>
      <c r="AS5" s="653"/>
      <c r="AT5" s="242"/>
      <c r="AU5" s="243"/>
      <c r="AV5" s="389"/>
      <c r="AW5" s="389"/>
      <c r="AX5" s="190"/>
      <c r="AY5" s="192"/>
      <c r="AZ5" s="828"/>
      <c r="BA5" s="390"/>
    </row>
    <row r="6" spans="1:53" s="120" customFormat="1" ht="14.25">
      <c r="A6" s="116" t="s">
        <v>22</v>
      </c>
      <c r="B6" s="121"/>
      <c r="C6" s="122"/>
      <c r="D6" s="124"/>
      <c r="E6" s="126"/>
      <c r="F6" s="123"/>
      <c r="G6" s="125"/>
      <c r="H6" s="124"/>
      <c r="I6" s="125"/>
      <c r="J6" s="124"/>
      <c r="K6" s="126"/>
      <c r="L6" s="124"/>
      <c r="M6" s="125"/>
      <c r="N6" s="124"/>
      <c r="O6" s="125"/>
      <c r="P6" s="124"/>
      <c r="Q6" s="125"/>
      <c r="R6" s="124"/>
      <c r="S6" s="125"/>
      <c r="T6" s="124"/>
      <c r="U6" s="125"/>
      <c r="V6" s="128"/>
      <c r="W6" s="140"/>
      <c r="X6" s="124"/>
      <c r="Y6" s="126"/>
      <c r="Z6" s="130"/>
      <c r="AA6" s="131"/>
      <c r="AB6" s="124"/>
      <c r="AC6" s="125"/>
      <c r="AD6" s="124"/>
      <c r="AE6" s="126"/>
      <c r="AF6" s="124"/>
      <c r="AG6" s="126"/>
      <c r="AH6" s="124"/>
      <c r="AI6" s="125"/>
      <c r="AJ6" s="124"/>
      <c r="AK6" s="126"/>
      <c r="AL6" s="124"/>
      <c r="AM6" s="126"/>
      <c r="AN6" s="118"/>
      <c r="AO6" s="119"/>
      <c r="AP6" s="132"/>
      <c r="AQ6" s="654"/>
      <c r="AR6" s="133"/>
      <c r="AS6" s="655"/>
      <c r="AT6" s="124"/>
      <c r="AU6" s="125"/>
      <c r="AV6" s="135"/>
      <c r="AW6" s="135"/>
      <c r="AX6" s="826"/>
      <c r="AY6" s="134"/>
      <c r="AZ6" s="123"/>
      <c r="BA6" s="119"/>
    </row>
    <row r="7" spans="1:53" s="120" customFormat="1" ht="14.25">
      <c r="A7" s="116" t="s">
        <v>23</v>
      </c>
      <c r="B7" s="138">
        <v>21734327</v>
      </c>
      <c r="C7" s="139">
        <v>24648317</v>
      </c>
      <c r="D7" s="128">
        <v>1339240</v>
      </c>
      <c r="E7" s="140">
        <v>890726</v>
      </c>
      <c r="F7" s="127">
        <v>3121900</v>
      </c>
      <c r="G7" s="129">
        <v>2360538</v>
      </c>
      <c r="H7" s="128">
        <v>13938046</v>
      </c>
      <c r="I7" s="129">
        <v>20012140</v>
      </c>
      <c r="J7" s="128">
        <v>3588248</v>
      </c>
      <c r="K7" s="140">
        <v>3872286</v>
      </c>
      <c r="L7" s="128">
        <v>4377868</v>
      </c>
      <c r="M7" s="129">
        <v>6144721</v>
      </c>
      <c r="N7" s="128">
        <v>1488476</v>
      </c>
      <c r="O7" s="129">
        <v>1742516</v>
      </c>
      <c r="P7" s="128">
        <v>1500425</v>
      </c>
      <c r="Q7" s="129">
        <v>1897774</v>
      </c>
      <c r="R7" s="128">
        <v>5658151</v>
      </c>
      <c r="S7" s="129">
        <v>6376759</v>
      </c>
      <c r="T7" s="128">
        <v>2490544</v>
      </c>
      <c r="U7" s="129">
        <v>3721707</v>
      </c>
      <c r="V7" s="128">
        <v>32964943</v>
      </c>
      <c r="W7" s="140">
        <v>35728720</v>
      </c>
      <c r="X7" s="128">
        <v>49243791</v>
      </c>
      <c r="Y7" s="140">
        <v>63446284</v>
      </c>
      <c r="Z7" s="143">
        <v>1048492</v>
      </c>
      <c r="AA7" s="144">
        <v>3941539</v>
      </c>
      <c r="AB7" s="124">
        <v>2187907</v>
      </c>
      <c r="AC7" s="125">
        <v>4015487</v>
      </c>
      <c r="AD7" s="128">
        <v>16466849</v>
      </c>
      <c r="AE7" s="140">
        <v>20825348</v>
      </c>
      <c r="AF7" s="128">
        <v>20827917</v>
      </c>
      <c r="AG7" s="140">
        <v>26464905</v>
      </c>
      <c r="AH7" s="128">
        <v>9581513</v>
      </c>
      <c r="AI7" s="129">
        <v>10658166</v>
      </c>
      <c r="AJ7" s="128">
        <v>14466968</v>
      </c>
      <c r="AK7" s="140">
        <v>9572679</v>
      </c>
      <c r="AL7" s="124">
        <v>124517</v>
      </c>
      <c r="AM7" s="126">
        <v>122262</v>
      </c>
      <c r="AN7" s="89">
        <v>46305403</v>
      </c>
      <c r="AO7" s="90">
        <v>62072336</v>
      </c>
      <c r="AP7" s="145">
        <v>4201259</v>
      </c>
      <c r="AQ7" s="158">
        <v>4656626</v>
      </c>
      <c r="AR7" s="147">
        <v>4570289</v>
      </c>
      <c r="AS7" s="159">
        <v>6050292</v>
      </c>
      <c r="AT7" s="128">
        <v>7248371</v>
      </c>
      <c r="AU7" s="129">
        <v>11272378</v>
      </c>
      <c r="AV7" s="149">
        <f aca="true" t="shared" si="0" ref="AV7:AW10">SUM(B7+D7+F7+H7+J7+L7+N7+P7+R7+T7+V7+X7+Z7+AB7+AD7+AF7+AH7+AJ7+AL7+AN7+AP7+AR7+AT7)</f>
        <v>268475444</v>
      </c>
      <c r="AW7" s="824">
        <f t="shared" si="0"/>
        <v>330494506</v>
      </c>
      <c r="AX7" s="146">
        <v>238293839</v>
      </c>
      <c r="AY7" s="148">
        <v>263010305</v>
      </c>
      <c r="AZ7" s="149">
        <f aca="true" t="shared" si="1" ref="AZ7:BA10">AV7+AX7</f>
        <v>506769283</v>
      </c>
      <c r="BA7" s="150">
        <f t="shared" si="1"/>
        <v>593504811</v>
      </c>
    </row>
    <row r="8" spans="1:53" s="120" customFormat="1" ht="14.25">
      <c r="A8" s="116" t="s">
        <v>24</v>
      </c>
      <c r="B8" s="138">
        <v>33594054</v>
      </c>
      <c r="C8" s="139">
        <v>31897001</v>
      </c>
      <c r="D8" s="128">
        <v>3652746</v>
      </c>
      <c r="E8" s="140">
        <v>3511489</v>
      </c>
      <c r="F8" s="127">
        <v>11723416</v>
      </c>
      <c r="G8" s="129">
        <v>10925930</v>
      </c>
      <c r="H8" s="128">
        <v>30127927</v>
      </c>
      <c r="I8" s="129">
        <v>28930598</v>
      </c>
      <c r="J8" s="128">
        <v>6688419</v>
      </c>
      <c r="K8" s="140">
        <v>7878928</v>
      </c>
      <c r="L8" s="128">
        <v>12007786</v>
      </c>
      <c r="M8" s="129">
        <v>13117359</v>
      </c>
      <c r="N8" s="128">
        <v>1931932</v>
      </c>
      <c r="O8" s="129">
        <v>2681695</v>
      </c>
      <c r="P8" s="128">
        <v>1264748</v>
      </c>
      <c r="Q8" s="129">
        <v>2133411</v>
      </c>
      <c r="R8" s="128">
        <v>14141394</v>
      </c>
      <c r="S8" s="129">
        <v>15458153</v>
      </c>
      <c r="T8" s="128">
        <v>3369119</v>
      </c>
      <c r="U8" s="129">
        <v>3399735</v>
      </c>
      <c r="V8" s="128">
        <v>98257560</v>
      </c>
      <c r="W8" s="140">
        <v>107491305</v>
      </c>
      <c r="X8" s="128">
        <v>123986401</v>
      </c>
      <c r="Y8" s="140">
        <v>144907002</v>
      </c>
      <c r="Z8" s="143">
        <v>2536392</v>
      </c>
      <c r="AA8" s="144">
        <v>7716355</v>
      </c>
      <c r="AB8" s="124">
        <v>4893022</v>
      </c>
      <c r="AC8" s="125">
        <v>5943208</v>
      </c>
      <c r="AD8" s="128">
        <v>17620187</v>
      </c>
      <c r="AE8" s="140">
        <v>22898047</v>
      </c>
      <c r="AF8" s="128">
        <v>63344526</v>
      </c>
      <c r="AG8" s="140">
        <v>71140474</v>
      </c>
      <c r="AH8" s="128">
        <v>18246679</v>
      </c>
      <c r="AI8" s="129">
        <v>20872955</v>
      </c>
      <c r="AJ8" s="128">
        <v>28397884</v>
      </c>
      <c r="AK8" s="140">
        <v>29752414</v>
      </c>
      <c r="AL8" s="124">
        <v>1136217</v>
      </c>
      <c r="AM8" s="126">
        <v>1092963</v>
      </c>
      <c r="AN8" s="89">
        <v>87187892</v>
      </c>
      <c r="AO8" s="90">
        <v>108712726</v>
      </c>
      <c r="AP8" s="145">
        <v>3283206</v>
      </c>
      <c r="AQ8" s="158">
        <v>4740456</v>
      </c>
      <c r="AR8" s="147">
        <v>7495926</v>
      </c>
      <c r="AS8" s="159">
        <v>8107765</v>
      </c>
      <c r="AT8" s="128">
        <v>17381697</v>
      </c>
      <c r="AU8" s="129">
        <v>20388892</v>
      </c>
      <c r="AV8" s="149">
        <f t="shared" si="0"/>
        <v>592269130</v>
      </c>
      <c r="AW8" s="824">
        <f t="shared" si="0"/>
        <v>673698861</v>
      </c>
      <c r="AX8" s="146">
        <v>1685526960</v>
      </c>
      <c r="AY8" s="148">
        <v>1759040472</v>
      </c>
      <c r="AZ8" s="149">
        <f t="shared" si="1"/>
        <v>2277796090</v>
      </c>
      <c r="BA8" s="150">
        <f t="shared" si="1"/>
        <v>2432739333</v>
      </c>
    </row>
    <row r="9" spans="1:53" s="120" customFormat="1" ht="14.25">
      <c r="A9" s="116" t="s">
        <v>25</v>
      </c>
      <c r="B9" s="138">
        <v>468744</v>
      </c>
      <c r="C9" s="139">
        <v>694233</v>
      </c>
      <c r="D9" s="128">
        <v>24039</v>
      </c>
      <c r="E9" s="140">
        <v>104976</v>
      </c>
      <c r="F9" s="127">
        <v>86147</v>
      </c>
      <c r="G9" s="129">
        <v>78595</v>
      </c>
      <c r="H9" s="128">
        <v>14907148</v>
      </c>
      <c r="I9" s="129">
        <v>12890478</v>
      </c>
      <c r="J9" s="128">
        <v>1806675</v>
      </c>
      <c r="K9" s="140">
        <v>2213807</v>
      </c>
      <c r="L9" s="128">
        <v>4213959</v>
      </c>
      <c r="M9" s="129">
        <v>3684975</v>
      </c>
      <c r="N9" s="128">
        <v>5781690</v>
      </c>
      <c r="O9" s="129">
        <v>6996816</v>
      </c>
      <c r="P9" s="128">
        <v>335487</v>
      </c>
      <c r="Q9" s="129">
        <v>382146</v>
      </c>
      <c r="R9" s="128">
        <v>670371</v>
      </c>
      <c r="S9" s="129">
        <v>2250882</v>
      </c>
      <c r="T9" s="128">
        <v>65330</v>
      </c>
      <c r="U9" s="129">
        <v>277029</v>
      </c>
      <c r="V9" s="128">
        <v>31907273</v>
      </c>
      <c r="W9" s="140">
        <v>51234833</v>
      </c>
      <c r="X9" s="128">
        <v>18413717</v>
      </c>
      <c r="Y9" s="140">
        <v>15186734</v>
      </c>
      <c r="Z9" s="143">
        <v>937624</v>
      </c>
      <c r="AA9" s="144">
        <v>3993970</v>
      </c>
      <c r="AB9" s="124">
        <v>12593070</v>
      </c>
      <c r="AC9" s="125">
        <v>12693050</v>
      </c>
      <c r="AD9" s="128">
        <v>5629783</v>
      </c>
      <c r="AE9" s="140">
        <v>7672086</v>
      </c>
      <c r="AF9" s="128">
        <v>7989199</v>
      </c>
      <c r="AG9" s="140">
        <v>10198644</v>
      </c>
      <c r="AH9" s="128">
        <v>450154</v>
      </c>
      <c r="AI9" s="129">
        <v>829680</v>
      </c>
      <c r="AJ9" s="128">
        <v>1116322</v>
      </c>
      <c r="AK9" s="140">
        <v>943120</v>
      </c>
      <c r="AL9" s="124">
        <v>309808</v>
      </c>
      <c r="AM9" s="126">
        <v>324181</v>
      </c>
      <c r="AN9" s="89">
        <v>24760353</v>
      </c>
      <c r="AO9" s="90">
        <v>39366289</v>
      </c>
      <c r="AP9" s="145">
        <v>2736630</v>
      </c>
      <c r="AQ9" s="158">
        <v>2682298</v>
      </c>
      <c r="AR9" s="147">
        <v>1008490</v>
      </c>
      <c r="AS9" s="159">
        <v>950768</v>
      </c>
      <c r="AT9" s="128">
        <v>159534</v>
      </c>
      <c r="AU9" s="129">
        <v>49566</v>
      </c>
      <c r="AV9" s="149">
        <f t="shared" si="0"/>
        <v>136371547</v>
      </c>
      <c r="AW9" s="824">
        <f t="shared" si="0"/>
        <v>175699156</v>
      </c>
      <c r="AX9" s="146">
        <v>740621257</v>
      </c>
      <c r="AY9" s="148">
        <v>982822821</v>
      </c>
      <c r="AZ9" s="149">
        <f t="shared" si="1"/>
        <v>876992804</v>
      </c>
      <c r="BA9" s="150">
        <f t="shared" si="1"/>
        <v>1158521977</v>
      </c>
    </row>
    <row r="10" spans="1:53" s="120" customFormat="1" ht="14.25">
      <c r="A10" s="151" t="s">
        <v>26</v>
      </c>
      <c r="B10" s="152">
        <f>SUM(B7:B9)</f>
        <v>55797125</v>
      </c>
      <c r="C10" s="152">
        <f aca="true" t="shared" si="2" ref="C10:AU10">SUM(C7:C9)</f>
        <v>57239551</v>
      </c>
      <c r="D10" s="152">
        <f t="shared" si="2"/>
        <v>5016025</v>
      </c>
      <c r="E10" s="152">
        <f t="shared" si="2"/>
        <v>4507191</v>
      </c>
      <c r="F10" s="152">
        <f t="shared" si="2"/>
        <v>14931463</v>
      </c>
      <c r="G10" s="152">
        <f t="shared" si="2"/>
        <v>13365063</v>
      </c>
      <c r="H10" s="152">
        <f t="shared" si="2"/>
        <v>58973121</v>
      </c>
      <c r="I10" s="152">
        <f t="shared" si="2"/>
        <v>61833216</v>
      </c>
      <c r="J10" s="152">
        <f t="shared" si="2"/>
        <v>12083342</v>
      </c>
      <c r="K10" s="152">
        <f t="shared" si="2"/>
        <v>13965021</v>
      </c>
      <c r="L10" s="152">
        <f t="shared" si="2"/>
        <v>20599613</v>
      </c>
      <c r="M10" s="152">
        <f t="shared" si="2"/>
        <v>22947055</v>
      </c>
      <c r="N10" s="152">
        <f t="shared" si="2"/>
        <v>9202098</v>
      </c>
      <c r="O10" s="152">
        <f t="shared" si="2"/>
        <v>11421027</v>
      </c>
      <c r="P10" s="152">
        <f t="shared" si="2"/>
        <v>3100660</v>
      </c>
      <c r="Q10" s="152">
        <f t="shared" si="2"/>
        <v>4413331</v>
      </c>
      <c r="R10" s="152">
        <f t="shared" si="2"/>
        <v>20469916</v>
      </c>
      <c r="S10" s="152">
        <f t="shared" si="2"/>
        <v>24085794</v>
      </c>
      <c r="T10" s="152">
        <f t="shared" si="2"/>
        <v>5924993</v>
      </c>
      <c r="U10" s="152">
        <f t="shared" si="2"/>
        <v>7398471</v>
      </c>
      <c r="V10" s="152">
        <f t="shared" si="2"/>
        <v>163129776</v>
      </c>
      <c r="W10" s="152">
        <f t="shared" si="2"/>
        <v>194454858</v>
      </c>
      <c r="X10" s="152">
        <f t="shared" si="2"/>
        <v>191643909</v>
      </c>
      <c r="Y10" s="152">
        <f t="shared" si="2"/>
        <v>223540020</v>
      </c>
      <c r="Z10" s="152">
        <f t="shared" si="2"/>
        <v>4522508</v>
      </c>
      <c r="AA10" s="152">
        <f t="shared" si="2"/>
        <v>15651864</v>
      </c>
      <c r="AB10" s="152">
        <f t="shared" si="2"/>
        <v>19673999</v>
      </c>
      <c r="AC10" s="152">
        <f t="shared" si="2"/>
        <v>22651745</v>
      </c>
      <c r="AD10" s="152">
        <f t="shared" si="2"/>
        <v>39716819</v>
      </c>
      <c r="AE10" s="152">
        <f t="shared" si="2"/>
        <v>51395481</v>
      </c>
      <c r="AF10" s="152">
        <f t="shared" si="2"/>
        <v>92161642</v>
      </c>
      <c r="AG10" s="152">
        <f t="shared" si="2"/>
        <v>107804023</v>
      </c>
      <c r="AH10" s="152">
        <f t="shared" si="2"/>
        <v>28278346</v>
      </c>
      <c r="AI10" s="152">
        <f t="shared" si="2"/>
        <v>32360801</v>
      </c>
      <c r="AJ10" s="152">
        <f t="shared" si="2"/>
        <v>43981174</v>
      </c>
      <c r="AK10" s="152">
        <f t="shared" si="2"/>
        <v>40268213</v>
      </c>
      <c r="AL10" s="152">
        <f t="shared" si="2"/>
        <v>1570542</v>
      </c>
      <c r="AM10" s="152">
        <f t="shared" si="2"/>
        <v>1539406</v>
      </c>
      <c r="AN10" s="152">
        <f t="shared" si="2"/>
        <v>158253648</v>
      </c>
      <c r="AO10" s="152">
        <f t="shared" si="2"/>
        <v>210151351</v>
      </c>
      <c r="AP10" s="152">
        <f t="shared" si="2"/>
        <v>10221095</v>
      </c>
      <c r="AQ10" s="152">
        <f t="shared" si="2"/>
        <v>12079380</v>
      </c>
      <c r="AR10" s="152">
        <f t="shared" si="2"/>
        <v>13074705</v>
      </c>
      <c r="AS10" s="152">
        <f t="shared" si="2"/>
        <v>15108825</v>
      </c>
      <c r="AT10" s="152">
        <f t="shared" si="2"/>
        <v>24789602</v>
      </c>
      <c r="AU10" s="152">
        <f t="shared" si="2"/>
        <v>31710836</v>
      </c>
      <c r="AV10" s="149">
        <f t="shared" si="0"/>
        <v>997116121</v>
      </c>
      <c r="AW10" s="824">
        <f t="shared" si="0"/>
        <v>1179892523</v>
      </c>
      <c r="AX10" s="149">
        <f>SUM(AX7:AX9)</f>
        <v>2664442056</v>
      </c>
      <c r="AY10" s="150">
        <f>SUM(AY7:AY9)</f>
        <v>3004873598</v>
      </c>
      <c r="AZ10" s="149">
        <f t="shared" si="1"/>
        <v>3661558177</v>
      </c>
      <c r="BA10" s="150">
        <f t="shared" si="1"/>
        <v>4184766121</v>
      </c>
    </row>
    <row r="11" spans="1:53" s="120" customFormat="1" ht="14.25">
      <c r="A11" s="116" t="s">
        <v>27</v>
      </c>
      <c r="B11" s="138"/>
      <c r="C11" s="139"/>
      <c r="D11" s="128"/>
      <c r="E11" s="140"/>
      <c r="F11" s="127"/>
      <c r="G11" s="129"/>
      <c r="H11" s="128"/>
      <c r="I11" s="129"/>
      <c r="J11" s="128"/>
      <c r="K11" s="140"/>
      <c r="L11" s="128"/>
      <c r="M11" s="129"/>
      <c r="N11" s="128"/>
      <c r="O11" s="129"/>
      <c r="P11" s="128"/>
      <c r="Q11" s="129"/>
      <c r="R11" s="128"/>
      <c r="S11" s="129"/>
      <c r="T11" s="128"/>
      <c r="U11" s="129"/>
      <c r="V11" s="128"/>
      <c r="W11" s="140"/>
      <c r="X11" s="128"/>
      <c r="Y11" s="140"/>
      <c r="Z11" s="128"/>
      <c r="AA11" s="129"/>
      <c r="AB11" s="124"/>
      <c r="AC11" s="125"/>
      <c r="AD11" s="128"/>
      <c r="AE11" s="140"/>
      <c r="AF11" s="128"/>
      <c r="AG11" s="140"/>
      <c r="AH11" s="128"/>
      <c r="AI11" s="129"/>
      <c r="AJ11" s="128"/>
      <c r="AK11" s="140"/>
      <c r="AL11" s="124"/>
      <c r="AM11" s="126"/>
      <c r="AN11" s="118"/>
      <c r="AO11" s="119"/>
      <c r="AP11" s="145"/>
      <c r="AQ11" s="158"/>
      <c r="AR11" s="147"/>
      <c r="AS11" s="159"/>
      <c r="AT11" s="128"/>
      <c r="AU11" s="129"/>
      <c r="AV11" s="149"/>
      <c r="AW11" s="824"/>
      <c r="AX11" s="146"/>
      <c r="AY11" s="148"/>
      <c r="AZ11" s="149"/>
      <c r="BA11" s="150"/>
    </row>
    <row r="12" spans="1:53" s="120" customFormat="1" ht="14.25">
      <c r="A12" s="116" t="s">
        <v>28</v>
      </c>
      <c r="B12" s="138">
        <f>B10</f>
        <v>55797125</v>
      </c>
      <c r="C12" s="139">
        <f>C10</f>
        <v>57239551</v>
      </c>
      <c r="D12" s="160"/>
      <c r="E12" s="161"/>
      <c r="F12" s="149">
        <f aca="true" t="shared" si="3" ref="F12:K12">F10</f>
        <v>14931463</v>
      </c>
      <c r="G12" s="162">
        <f t="shared" si="3"/>
        <v>13365063</v>
      </c>
      <c r="H12" s="160">
        <f t="shared" si="3"/>
        <v>58973121</v>
      </c>
      <c r="I12" s="162">
        <f t="shared" si="3"/>
        <v>61833216</v>
      </c>
      <c r="J12" s="160">
        <f t="shared" si="3"/>
        <v>12083342</v>
      </c>
      <c r="K12" s="160">
        <f t="shared" si="3"/>
        <v>13965021</v>
      </c>
      <c r="L12" s="160">
        <f aca="true" t="shared" si="4" ref="L12:AU12">L10</f>
        <v>20599613</v>
      </c>
      <c r="M12" s="160">
        <f t="shared" si="4"/>
        <v>22947055</v>
      </c>
      <c r="N12" s="160">
        <f t="shared" si="4"/>
        <v>9202098</v>
      </c>
      <c r="O12" s="160">
        <f t="shared" si="4"/>
        <v>11421027</v>
      </c>
      <c r="P12" s="160">
        <f t="shared" si="4"/>
        <v>3100660</v>
      </c>
      <c r="Q12" s="160">
        <f t="shared" si="4"/>
        <v>4413331</v>
      </c>
      <c r="R12" s="160">
        <f t="shared" si="4"/>
        <v>20469916</v>
      </c>
      <c r="S12" s="160">
        <f t="shared" si="4"/>
        <v>24085794</v>
      </c>
      <c r="T12" s="160">
        <f t="shared" si="4"/>
        <v>5924993</v>
      </c>
      <c r="U12" s="160">
        <f t="shared" si="4"/>
        <v>7398471</v>
      </c>
      <c r="V12" s="160">
        <f t="shared" si="4"/>
        <v>163129776</v>
      </c>
      <c r="W12" s="160">
        <f t="shared" si="4"/>
        <v>194454858</v>
      </c>
      <c r="X12" s="160">
        <f t="shared" si="4"/>
        <v>191643909</v>
      </c>
      <c r="Y12" s="160">
        <f t="shared" si="4"/>
        <v>223540020</v>
      </c>
      <c r="Z12" s="160">
        <f t="shared" si="4"/>
        <v>4522508</v>
      </c>
      <c r="AA12" s="160">
        <f t="shared" si="4"/>
        <v>15651864</v>
      </c>
      <c r="AB12" s="160">
        <f t="shared" si="4"/>
        <v>19673999</v>
      </c>
      <c r="AC12" s="160">
        <f t="shared" si="4"/>
        <v>22651745</v>
      </c>
      <c r="AD12" s="160">
        <f t="shared" si="4"/>
        <v>39716819</v>
      </c>
      <c r="AE12" s="160">
        <f t="shared" si="4"/>
        <v>51395481</v>
      </c>
      <c r="AF12" s="160">
        <f t="shared" si="4"/>
        <v>92161642</v>
      </c>
      <c r="AG12" s="160">
        <f t="shared" si="4"/>
        <v>107804023</v>
      </c>
      <c r="AH12" s="160">
        <f t="shared" si="4"/>
        <v>28278346</v>
      </c>
      <c r="AI12" s="160">
        <f t="shared" si="4"/>
        <v>32360801</v>
      </c>
      <c r="AJ12" s="160">
        <f t="shared" si="4"/>
        <v>43981174</v>
      </c>
      <c r="AK12" s="160">
        <f t="shared" si="4"/>
        <v>40268213</v>
      </c>
      <c r="AL12" s="160">
        <f t="shared" si="4"/>
        <v>1570542</v>
      </c>
      <c r="AM12" s="160">
        <f t="shared" si="4"/>
        <v>1539406</v>
      </c>
      <c r="AN12" s="160">
        <f t="shared" si="4"/>
        <v>158253648</v>
      </c>
      <c r="AO12" s="160">
        <f t="shared" si="4"/>
        <v>210151351</v>
      </c>
      <c r="AP12" s="160">
        <f t="shared" si="4"/>
        <v>10221095</v>
      </c>
      <c r="AQ12" s="160">
        <f t="shared" si="4"/>
        <v>12079380</v>
      </c>
      <c r="AR12" s="160">
        <f t="shared" si="4"/>
        <v>13074705</v>
      </c>
      <c r="AS12" s="160">
        <f t="shared" si="4"/>
        <v>15108825</v>
      </c>
      <c r="AT12" s="160">
        <f t="shared" si="4"/>
        <v>24789602</v>
      </c>
      <c r="AU12" s="160">
        <f t="shared" si="4"/>
        <v>31710836</v>
      </c>
      <c r="AV12" s="149">
        <f>AV10</f>
        <v>997116121</v>
      </c>
      <c r="AW12" s="824">
        <f>AW10</f>
        <v>1179892523</v>
      </c>
      <c r="AX12" s="146"/>
      <c r="AY12" s="148"/>
      <c r="AZ12" s="149"/>
      <c r="BA12" s="150"/>
    </row>
    <row r="13" spans="1:53" s="120" customFormat="1" ht="14.25">
      <c r="A13" s="116" t="s">
        <v>29</v>
      </c>
      <c r="B13" s="138"/>
      <c r="C13" s="139"/>
      <c r="D13" s="128"/>
      <c r="E13" s="140"/>
      <c r="F13" s="127"/>
      <c r="G13" s="129"/>
      <c r="H13" s="128"/>
      <c r="I13" s="129"/>
      <c r="J13" s="128"/>
      <c r="K13" s="140"/>
      <c r="L13" s="128"/>
      <c r="M13" s="129"/>
      <c r="N13" s="128"/>
      <c r="O13" s="129"/>
      <c r="P13" s="128"/>
      <c r="Q13" s="129"/>
      <c r="R13" s="128"/>
      <c r="S13" s="129"/>
      <c r="T13" s="128"/>
      <c r="U13" s="129"/>
      <c r="V13" s="128"/>
      <c r="W13" s="140"/>
      <c r="X13" s="128"/>
      <c r="Y13" s="140"/>
      <c r="Z13" s="128"/>
      <c r="AA13" s="129"/>
      <c r="AB13" s="124"/>
      <c r="AC13" s="125"/>
      <c r="AD13" s="128"/>
      <c r="AE13" s="140"/>
      <c r="AF13" s="128"/>
      <c r="AG13" s="140"/>
      <c r="AH13" s="128"/>
      <c r="AI13" s="129"/>
      <c r="AJ13" s="128"/>
      <c r="AK13" s="140"/>
      <c r="AL13" s="124"/>
      <c r="AM13" s="126"/>
      <c r="AN13" s="118"/>
      <c r="AO13" s="119"/>
      <c r="AP13" s="145"/>
      <c r="AQ13" s="158"/>
      <c r="AR13" s="147"/>
      <c r="AS13" s="159"/>
      <c r="AT13" s="128"/>
      <c r="AU13" s="129"/>
      <c r="AV13" s="149"/>
      <c r="AW13" s="824"/>
      <c r="AX13" s="146"/>
      <c r="AY13" s="148"/>
      <c r="AZ13" s="149"/>
      <c r="BA13" s="150"/>
    </row>
    <row r="14" spans="1:53" s="508" customFormat="1" ht="15" thickBot="1">
      <c r="A14" s="501" t="s">
        <v>26</v>
      </c>
      <c r="B14" s="502">
        <f>B10</f>
        <v>55797125</v>
      </c>
      <c r="C14" s="503">
        <f>C10</f>
        <v>57239551</v>
      </c>
      <c r="D14" s="504">
        <f>D10</f>
        <v>5016025</v>
      </c>
      <c r="E14" s="504">
        <f>E10</f>
        <v>4507191</v>
      </c>
      <c r="F14" s="504">
        <f aca="true" t="shared" si="5" ref="F14:AU14">F10</f>
        <v>14931463</v>
      </c>
      <c r="G14" s="504">
        <f t="shared" si="5"/>
        <v>13365063</v>
      </c>
      <c r="H14" s="504">
        <f t="shared" si="5"/>
        <v>58973121</v>
      </c>
      <c r="I14" s="504">
        <f t="shared" si="5"/>
        <v>61833216</v>
      </c>
      <c r="J14" s="504">
        <f t="shared" si="5"/>
        <v>12083342</v>
      </c>
      <c r="K14" s="504">
        <f t="shared" si="5"/>
        <v>13965021</v>
      </c>
      <c r="L14" s="504">
        <f t="shared" si="5"/>
        <v>20599613</v>
      </c>
      <c r="M14" s="504">
        <f t="shared" si="5"/>
        <v>22947055</v>
      </c>
      <c r="N14" s="504">
        <f t="shared" si="5"/>
        <v>9202098</v>
      </c>
      <c r="O14" s="504">
        <f t="shared" si="5"/>
        <v>11421027</v>
      </c>
      <c r="P14" s="504">
        <f t="shared" si="5"/>
        <v>3100660</v>
      </c>
      <c r="Q14" s="504">
        <f t="shared" si="5"/>
        <v>4413331</v>
      </c>
      <c r="R14" s="504">
        <f t="shared" si="5"/>
        <v>20469916</v>
      </c>
      <c r="S14" s="504">
        <f t="shared" si="5"/>
        <v>24085794</v>
      </c>
      <c r="T14" s="504">
        <f t="shared" si="5"/>
        <v>5924993</v>
      </c>
      <c r="U14" s="504">
        <f t="shared" si="5"/>
        <v>7398471</v>
      </c>
      <c r="V14" s="504">
        <f t="shared" si="5"/>
        <v>163129776</v>
      </c>
      <c r="W14" s="504">
        <f t="shared" si="5"/>
        <v>194454858</v>
      </c>
      <c r="X14" s="504">
        <f t="shared" si="5"/>
        <v>191643909</v>
      </c>
      <c r="Y14" s="504">
        <f t="shared" si="5"/>
        <v>223540020</v>
      </c>
      <c r="Z14" s="504">
        <f t="shared" si="5"/>
        <v>4522508</v>
      </c>
      <c r="AA14" s="504">
        <f t="shared" si="5"/>
        <v>15651864</v>
      </c>
      <c r="AB14" s="504">
        <f t="shared" si="5"/>
        <v>19673999</v>
      </c>
      <c r="AC14" s="504">
        <f t="shared" si="5"/>
        <v>22651745</v>
      </c>
      <c r="AD14" s="504">
        <f t="shared" si="5"/>
        <v>39716819</v>
      </c>
      <c r="AE14" s="504">
        <f t="shared" si="5"/>
        <v>51395481</v>
      </c>
      <c r="AF14" s="504">
        <f t="shared" si="5"/>
        <v>92161642</v>
      </c>
      <c r="AG14" s="504">
        <f t="shared" si="5"/>
        <v>107804023</v>
      </c>
      <c r="AH14" s="504">
        <f t="shared" si="5"/>
        <v>28278346</v>
      </c>
      <c r="AI14" s="504">
        <f t="shared" si="5"/>
        <v>32360801</v>
      </c>
      <c r="AJ14" s="504">
        <f t="shared" si="5"/>
        <v>43981174</v>
      </c>
      <c r="AK14" s="504">
        <f t="shared" si="5"/>
        <v>40268213</v>
      </c>
      <c r="AL14" s="504">
        <f t="shared" si="5"/>
        <v>1570542</v>
      </c>
      <c r="AM14" s="504">
        <f t="shared" si="5"/>
        <v>1539406</v>
      </c>
      <c r="AN14" s="504">
        <f t="shared" si="5"/>
        <v>158253648</v>
      </c>
      <c r="AO14" s="504">
        <f t="shared" si="5"/>
        <v>210151351</v>
      </c>
      <c r="AP14" s="504">
        <f t="shared" si="5"/>
        <v>10221095</v>
      </c>
      <c r="AQ14" s="504">
        <f t="shared" si="5"/>
        <v>12079380</v>
      </c>
      <c r="AR14" s="504">
        <f t="shared" si="5"/>
        <v>13074705</v>
      </c>
      <c r="AS14" s="504">
        <f t="shared" si="5"/>
        <v>15108825</v>
      </c>
      <c r="AT14" s="504">
        <f t="shared" si="5"/>
        <v>24789602</v>
      </c>
      <c r="AU14" s="504">
        <f t="shared" si="5"/>
        <v>31710836</v>
      </c>
      <c r="AV14" s="505">
        <f aca="true" t="shared" si="6" ref="AV14:BA14">AV10</f>
        <v>997116121</v>
      </c>
      <c r="AW14" s="825">
        <f t="shared" si="6"/>
        <v>1179892523</v>
      </c>
      <c r="AX14" s="827">
        <f t="shared" si="6"/>
        <v>2664442056</v>
      </c>
      <c r="AY14" s="507">
        <f t="shared" si="6"/>
        <v>3004873598</v>
      </c>
      <c r="AZ14" s="505">
        <f t="shared" si="6"/>
        <v>3661558177</v>
      </c>
      <c r="BA14" s="506">
        <f t="shared" si="6"/>
        <v>4184766121</v>
      </c>
    </row>
    <row r="16" spans="50:57" ht="15">
      <c r="AX16" s="491"/>
      <c r="AY16" s="491"/>
      <c r="AZ16" s="764"/>
      <c r="BA16" s="764"/>
      <c r="BB16" s="764"/>
      <c r="BC16" s="764"/>
      <c r="BD16" s="764"/>
      <c r="BE16" s="764"/>
    </row>
    <row r="17" spans="50:57" ht="15">
      <c r="AX17" s="765"/>
      <c r="AY17" s="766"/>
      <c r="AZ17" s="764"/>
      <c r="BA17" s="764"/>
      <c r="BB17" s="764"/>
      <c r="BC17" s="764"/>
      <c r="BD17" s="764"/>
      <c r="BE17" s="764"/>
    </row>
    <row r="18" spans="50:57" ht="15">
      <c r="AX18" s="765"/>
      <c r="AY18" s="765"/>
      <c r="AZ18" s="764"/>
      <c r="BA18" s="764"/>
      <c r="BB18" s="764"/>
      <c r="BC18" s="764"/>
      <c r="BD18" s="764"/>
      <c r="BE18" s="764"/>
    </row>
    <row r="19" spans="50:57" ht="15">
      <c r="AX19" s="765"/>
      <c r="AY19" s="765"/>
      <c r="AZ19" s="764"/>
      <c r="BA19" s="764"/>
      <c r="BB19" s="764"/>
      <c r="BC19" s="764"/>
      <c r="BD19" s="764"/>
      <c r="BE19" s="764"/>
    </row>
    <row r="20" spans="50:57" ht="15">
      <c r="AX20" s="764"/>
      <c r="AY20" s="764"/>
      <c r="AZ20" s="764"/>
      <c r="BA20" s="764"/>
      <c r="BB20" s="764"/>
      <c r="BC20" s="764"/>
      <c r="BD20" s="764"/>
      <c r="BE20" s="764"/>
    </row>
    <row r="21" spans="50:57" ht="15">
      <c r="AX21" s="764"/>
      <c r="AY21" s="764"/>
      <c r="AZ21" s="764"/>
      <c r="BA21" s="764"/>
      <c r="BB21" s="764"/>
      <c r="BC21" s="764"/>
      <c r="BD21" s="764"/>
      <c r="BE21" s="764"/>
    </row>
    <row r="22" spans="50:57" ht="15">
      <c r="AX22" s="764"/>
      <c r="AY22" s="764"/>
      <c r="AZ22" s="764"/>
      <c r="BA22" s="764"/>
      <c r="BB22" s="764"/>
      <c r="BC22" s="764"/>
      <c r="BD22" s="764"/>
      <c r="BE22" s="764"/>
    </row>
    <row r="23" spans="50:57" ht="15">
      <c r="AX23" s="764"/>
      <c r="AY23" s="764"/>
      <c r="AZ23" s="764"/>
      <c r="BA23" s="764"/>
      <c r="BB23" s="764"/>
      <c r="BC23" s="764"/>
      <c r="BD23" s="764"/>
      <c r="BE23" s="764"/>
    </row>
    <row r="24" spans="50:57" ht="15">
      <c r="AX24" s="764"/>
      <c r="AY24" s="764"/>
      <c r="AZ24" s="764"/>
      <c r="BA24" s="764"/>
      <c r="BB24" s="764"/>
      <c r="BC24" s="764"/>
      <c r="BD24" s="764"/>
      <c r="BE24" s="764"/>
    </row>
    <row r="25" spans="50:57" ht="15">
      <c r="AX25" s="764"/>
      <c r="AY25" s="764"/>
      <c r="AZ25" s="764"/>
      <c r="BA25" s="764"/>
      <c r="BB25" s="764"/>
      <c r="BC25" s="764"/>
      <c r="BD25" s="764"/>
      <c r="BE25" s="764"/>
    </row>
    <row r="26" spans="50:57" ht="15">
      <c r="AX26" s="764"/>
      <c r="AY26" s="764"/>
      <c r="AZ26" s="764"/>
      <c r="BA26" s="764"/>
      <c r="BB26" s="764"/>
      <c r="BC26" s="764"/>
      <c r="BD26" s="764"/>
      <c r="BE26" s="764"/>
    </row>
    <row r="27" spans="50:57" ht="15">
      <c r="AX27" s="764"/>
      <c r="AY27" s="764"/>
      <c r="AZ27" s="764"/>
      <c r="BA27" s="764"/>
      <c r="BB27" s="764"/>
      <c r="BC27" s="764"/>
      <c r="BD27" s="764"/>
      <c r="BE27" s="764"/>
    </row>
    <row r="28" spans="50:57" ht="15">
      <c r="AX28" s="764"/>
      <c r="AY28" s="764"/>
      <c r="AZ28" s="764"/>
      <c r="BA28" s="764"/>
      <c r="BB28" s="764"/>
      <c r="BC28" s="764"/>
      <c r="BD28" s="764"/>
      <c r="BE28" s="764"/>
    </row>
    <row r="29" spans="50:57" ht="15">
      <c r="AX29" s="764"/>
      <c r="AY29" s="764"/>
      <c r="AZ29" s="764"/>
      <c r="BA29" s="764"/>
      <c r="BB29" s="764"/>
      <c r="BC29" s="764"/>
      <c r="BD29" s="764"/>
      <c r="BE29" s="764"/>
    </row>
    <row r="30" spans="50:57" ht="15">
      <c r="AX30" s="764"/>
      <c r="AY30" s="764"/>
      <c r="AZ30" s="764"/>
      <c r="BA30" s="764"/>
      <c r="BB30" s="764"/>
      <c r="BC30" s="764"/>
      <c r="BD30" s="764"/>
      <c r="BE30" s="764"/>
    </row>
    <row r="31" spans="50:57" ht="15">
      <c r="AX31" s="764"/>
      <c r="AY31" s="764"/>
      <c r="AZ31" s="764"/>
      <c r="BA31" s="764"/>
      <c r="BB31" s="764"/>
      <c r="BC31" s="764"/>
      <c r="BD31" s="764"/>
      <c r="BE31" s="764"/>
    </row>
    <row r="32" spans="50:57" ht="15">
      <c r="AX32" s="764"/>
      <c r="AY32" s="764"/>
      <c r="AZ32" s="764"/>
      <c r="BA32" s="764"/>
      <c r="BB32" s="764"/>
      <c r="BC32" s="764"/>
      <c r="BD32" s="764"/>
      <c r="BE32" s="764"/>
    </row>
  </sheetData>
  <sheetProtection/>
  <mergeCells count="29">
    <mergeCell ref="B3:C3"/>
    <mergeCell ref="AP3:AQ3"/>
    <mergeCell ref="T3:U3"/>
    <mergeCell ref="V3:W3"/>
    <mergeCell ref="X3:Y3"/>
    <mergeCell ref="D3:E3"/>
    <mergeCell ref="AH3:AI3"/>
    <mergeCell ref="AJ3:AK3"/>
    <mergeCell ref="N3:O3"/>
    <mergeCell ref="P3:Q3"/>
    <mergeCell ref="R3:S3"/>
    <mergeCell ref="AV3:AW3"/>
    <mergeCell ref="AT3:AU3"/>
    <mergeCell ref="Z3:AA3"/>
    <mergeCell ref="AB3:AC3"/>
    <mergeCell ref="AL3:AM3"/>
    <mergeCell ref="AR3:AS3"/>
    <mergeCell ref="AF3:AG3"/>
    <mergeCell ref="AN3:AO3"/>
    <mergeCell ref="A1:AY1"/>
    <mergeCell ref="A2:AY2"/>
    <mergeCell ref="A3:A4"/>
    <mergeCell ref="AD3:AE3"/>
    <mergeCell ref="AZ3:BA3"/>
    <mergeCell ref="F3:G3"/>
    <mergeCell ref="H3:I3"/>
    <mergeCell ref="J3:K3"/>
    <mergeCell ref="L3:M3"/>
    <mergeCell ref="AX3:AY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5"/>
  <sheetViews>
    <sheetView zoomScalePageLayoutView="0" workbookViewId="0" topLeftCell="A10">
      <pane xSplit="1" topLeftCell="AQ1" activePane="topRight" state="frozen"/>
      <selection pane="topLeft" activeCell="A1" sqref="A1"/>
      <selection pane="topRight" activeCell="I19" sqref="I19"/>
    </sheetView>
  </sheetViews>
  <sheetFormatPr defaultColWidth="9.140625" defaultRowHeight="15"/>
  <cols>
    <col min="1" max="1" width="37.140625" style="201" customWidth="1"/>
    <col min="2" max="2" width="12.421875" style="201" bestFit="1" customWidth="1"/>
    <col min="3" max="3" width="13.28125" style="201" bestFit="1" customWidth="1"/>
    <col min="4" max="4" width="13.7109375" style="201" customWidth="1"/>
    <col min="5" max="5" width="13.421875" style="201" customWidth="1"/>
    <col min="6" max="6" width="12.421875" style="201" bestFit="1" customWidth="1"/>
    <col min="7" max="7" width="13.28125" style="201" bestFit="1" customWidth="1"/>
    <col min="8" max="8" width="12.421875" style="201" bestFit="1" customWidth="1"/>
    <col min="9" max="9" width="13.28125" style="201" bestFit="1" customWidth="1"/>
    <col min="10" max="10" width="12.421875" style="201" bestFit="1" customWidth="1"/>
    <col min="11" max="11" width="13.28125" style="201" bestFit="1" customWidth="1"/>
    <col min="12" max="12" width="12.421875" style="201" bestFit="1" customWidth="1"/>
    <col min="13" max="13" width="13.28125" style="201" bestFit="1" customWidth="1"/>
    <col min="14" max="14" width="12.421875" style="201" bestFit="1" customWidth="1"/>
    <col min="15" max="15" width="13.28125" style="201" bestFit="1" customWidth="1"/>
    <col min="16" max="16" width="12.421875" style="201" bestFit="1" customWidth="1"/>
    <col min="17" max="17" width="13.28125" style="201" bestFit="1" customWidth="1"/>
    <col min="18" max="18" width="12.421875" style="201" bestFit="1" customWidth="1"/>
    <col min="19" max="19" width="13.28125" style="201" bestFit="1" customWidth="1"/>
    <col min="20" max="20" width="10.57421875" style="201" customWidth="1"/>
    <col min="21" max="21" width="13.28125" style="201" bestFit="1" customWidth="1"/>
    <col min="22" max="22" width="12.421875" style="201" bestFit="1" customWidth="1"/>
    <col min="23" max="23" width="13.28125" style="201" bestFit="1" customWidth="1"/>
    <col min="24" max="24" width="12.421875" style="201" bestFit="1" customWidth="1"/>
    <col min="25" max="25" width="13.28125" style="201" bestFit="1" customWidth="1"/>
    <col min="26" max="26" width="10.7109375" style="201" customWidth="1"/>
    <col min="27" max="27" width="13.28125" style="201" bestFit="1" customWidth="1"/>
    <col min="28" max="28" width="12.421875" style="201" bestFit="1" customWidth="1"/>
    <col min="29" max="29" width="13.28125" style="201" bestFit="1" customWidth="1"/>
    <col min="30" max="30" width="12.421875" style="201" bestFit="1" customWidth="1"/>
    <col min="31" max="31" width="13.28125" style="201" bestFit="1" customWidth="1"/>
    <col min="32" max="32" width="12.421875" style="201" bestFit="1" customWidth="1"/>
    <col min="33" max="33" width="13.28125" style="201" bestFit="1" customWidth="1"/>
    <col min="34" max="34" width="12.421875" style="201" bestFit="1" customWidth="1"/>
    <col min="35" max="35" width="13.28125" style="201" bestFit="1" customWidth="1"/>
    <col min="36" max="36" width="12.421875" style="201" bestFit="1" customWidth="1"/>
    <col min="37" max="37" width="13.28125" style="201" bestFit="1" customWidth="1"/>
    <col min="38" max="38" width="12.421875" style="201" bestFit="1" customWidth="1"/>
    <col min="39" max="39" width="13.28125" style="201" bestFit="1" customWidth="1"/>
    <col min="40" max="40" width="12.421875" style="201" bestFit="1" customWidth="1"/>
    <col min="41" max="41" width="13.28125" style="201" bestFit="1" customWidth="1"/>
    <col min="42" max="42" width="12.421875" style="201" bestFit="1" customWidth="1"/>
    <col min="43" max="43" width="13.28125" style="201" bestFit="1" customWidth="1"/>
    <col min="44" max="44" width="12.421875" style="201" bestFit="1" customWidth="1"/>
    <col min="45" max="45" width="13.28125" style="201" bestFit="1" customWidth="1"/>
    <col min="46" max="46" width="12.421875" style="201" bestFit="1" customWidth="1"/>
    <col min="47" max="47" width="13.28125" style="201" bestFit="1" customWidth="1"/>
    <col min="48" max="48" width="12.421875" style="201" bestFit="1" customWidth="1"/>
    <col min="49" max="49" width="13.28125" style="201" bestFit="1" customWidth="1"/>
    <col min="50" max="50" width="12.421875" style="201" bestFit="1" customWidth="1"/>
    <col min="51" max="51" width="13.28125" style="201" bestFit="1" customWidth="1"/>
    <col min="52" max="52" width="12.421875" style="201" bestFit="1" customWidth="1"/>
    <col min="53" max="53" width="13.28125" style="201" bestFit="1" customWidth="1"/>
    <col min="54" max="16384" width="9.140625" style="201" customWidth="1"/>
  </cols>
  <sheetData>
    <row r="1" spans="1:51" s="238" customFormat="1" ht="14.25">
      <c r="A1" s="1018" t="s">
        <v>113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  <c r="AQ1" s="1018"/>
      <c r="AR1" s="1018"/>
      <c r="AS1" s="1018"/>
      <c r="AT1" s="1018"/>
      <c r="AU1" s="1018"/>
      <c r="AV1" s="1018"/>
      <c r="AW1" s="1018"/>
      <c r="AX1" s="1018"/>
      <c r="AY1" s="1018"/>
    </row>
    <row r="2" spans="1:51" s="509" customFormat="1" ht="14.25" thickBot="1">
      <c r="A2" s="1050" t="s">
        <v>59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0"/>
      <c r="V2" s="1050"/>
      <c r="W2" s="1050"/>
      <c r="X2" s="1050"/>
      <c r="Y2" s="1050"/>
      <c r="Z2" s="1050"/>
      <c r="AA2" s="1050"/>
      <c r="AB2" s="1050"/>
      <c r="AC2" s="1050"/>
      <c r="AD2" s="1050"/>
      <c r="AE2" s="1050"/>
      <c r="AF2" s="1050"/>
      <c r="AG2" s="1050"/>
      <c r="AH2" s="1050"/>
      <c r="AI2" s="1050"/>
      <c r="AJ2" s="1050"/>
      <c r="AK2" s="1050"/>
      <c r="AL2" s="1050"/>
      <c r="AM2" s="1050"/>
      <c r="AN2" s="1050"/>
      <c r="AO2" s="1050"/>
      <c r="AP2" s="1050"/>
      <c r="AQ2" s="1050"/>
      <c r="AR2" s="1050"/>
      <c r="AS2" s="1050"/>
      <c r="AT2" s="1050"/>
      <c r="AU2" s="1050"/>
      <c r="AV2" s="1050"/>
      <c r="AW2" s="1050"/>
      <c r="AX2" s="1050"/>
      <c r="AY2" s="1050"/>
    </row>
    <row r="3" spans="1:53" s="835" customFormat="1" ht="53.25" customHeight="1" thickBot="1">
      <c r="A3" s="1051" t="s">
        <v>0</v>
      </c>
      <c r="B3" s="1048" t="s">
        <v>117</v>
      </c>
      <c r="C3" s="1047"/>
      <c r="D3" s="1046" t="s">
        <v>118</v>
      </c>
      <c r="E3" s="1047"/>
      <c r="F3" s="1048" t="s">
        <v>119</v>
      </c>
      <c r="G3" s="1047"/>
      <c r="H3" s="1046" t="s">
        <v>120</v>
      </c>
      <c r="I3" s="1047"/>
      <c r="J3" s="1046" t="s">
        <v>121</v>
      </c>
      <c r="K3" s="1047"/>
      <c r="L3" s="1046" t="s">
        <v>122</v>
      </c>
      <c r="M3" s="1047"/>
      <c r="N3" s="1046" t="s">
        <v>123</v>
      </c>
      <c r="O3" s="1047"/>
      <c r="P3" s="1046" t="s">
        <v>124</v>
      </c>
      <c r="Q3" s="1047"/>
      <c r="R3" s="1046" t="s">
        <v>125</v>
      </c>
      <c r="S3" s="1047"/>
      <c r="T3" s="1048" t="s">
        <v>126</v>
      </c>
      <c r="U3" s="1047"/>
      <c r="V3" s="1048" t="s">
        <v>127</v>
      </c>
      <c r="W3" s="1047"/>
      <c r="X3" s="1046" t="s">
        <v>128</v>
      </c>
      <c r="Y3" s="1047"/>
      <c r="Z3" s="1048" t="s">
        <v>129</v>
      </c>
      <c r="AA3" s="1047"/>
      <c r="AB3" s="1046" t="s">
        <v>130</v>
      </c>
      <c r="AC3" s="1047"/>
      <c r="AD3" s="1044" t="s">
        <v>131</v>
      </c>
      <c r="AE3" s="1045"/>
      <c r="AF3" s="1046" t="s">
        <v>132</v>
      </c>
      <c r="AG3" s="1047"/>
      <c r="AH3" s="1046" t="s">
        <v>133</v>
      </c>
      <c r="AI3" s="1047"/>
      <c r="AJ3" s="1046" t="s">
        <v>134</v>
      </c>
      <c r="AK3" s="1047"/>
      <c r="AL3" s="1049" t="s">
        <v>135</v>
      </c>
      <c r="AM3" s="1045"/>
      <c r="AN3" s="1046" t="s">
        <v>136</v>
      </c>
      <c r="AO3" s="1047"/>
      <c r="AP3" s="1046" t="s">
        <v>137</v>
      </c>
      <c r="AQ3" s="1048"/>
      <c r="AR3" s="1046" t="s">
        <v>138</v>
      </c>
      <c r="AS3" s="1048"/>
      <c r="AT3" s="1046" t="s">
        <v>139</v>
      </c>
      <c r="AU3" s="1047"/>
      <c r="AV3" s="1048" t="s">
        <v>1</v>
      </c>
      <c r="AW3" s="1048"/>
      <c r="AX3" s="1049" t="s">
        <v>140</v>
      </c>
      <c r="AY3" s="1044"/>
      <c r="AZ3" s="1049" t="s">
        <v>2</v>
      </c>
      <c r="BA3" s="1045"/>
    </row>
    <row r="4" spans="1:53" s="509" customFormat="1" ht="15" thickBot="1">
      <c r="A4" s="1052"/>
      <c r="B4" s="536" t="s">
        <v>246</v>
      </c>
      <c r="C4" s="536" t="s">
        <v>247</v>
      </c>
      <c r="D4" s="536" t="s">
        <v>246</v>
      </c>
      <c r="E4" s="536" t="s">
        <v>247</v>
      </c>
      <c r="F4" s="536" t="s">
        <v>246</v>
      </c>
      <c r="G4" s="536" t="s">
        <v>247</v>
      </c>
      <c r="H4" s="536" t="s">
        <v>246</v>
      </c>
      <c r="I4" s="536" t="s">
        <v>247</v>
      </c>
      <c r="J4" s="536" t="s">
        <v>246</v>
      </c>
      <c r="K4" s="536" t="s">
        <v>247</v>
      </c>
      <c r="L4" s="536" t="s">
        <v>246</v>
      </c>
      <c r="M4" s="536" t="s">
        <v>247</v>
      </c>
      <c r="N4" s="536" t="s">
        <v>246</v>
      </c>
      <c r="O4" s="536" t="s">
        <v>247</v>
      </c>
      <c r="P4" s="536" t="s">
        <v>246</v>
      </c>
      <c r="Q4" s="536" t="s">
        <v>247</v>
      </c>
      <c r="R4" s="536" t="s">
        <v>246</v>
      </c>
      <c r="S4" s="536" t="s">
        <v>247</v>
      </c>
      <c r="T4" s="536" t="s">
        <v>246</v>
      </c>
      <c r="U4" s="536" t="s">
        <v>247</v>
      </c>
      <c r="V4" s="536" t="s">
        <v>246</v>
      </c>
      <c r="W4" s="536" t="s">
        <v>247</v>
      </c>
      <c r="X4" s="536" t="s">
        <v>246</v>
      </c>
      <c r="Y4" s="536" t="s">
        <v>247</v>
      </c>
      <c r="Z4" s="536" t="s">
        <v>246</v>
      </c>
      <c r="AA4" s="536" t="s">
        <v>247</v>
      </c>
      <c r="AB4" s="536" t="s">
        <v>246</v>
      </c>
      <c r="AC4" s="536" t="s">
        <v>247</v>
      </c>
      <c r="AD4" s="536" t="s">
        <v>246</v>
      </c>
      <c r="AE4" s="536" t="s">
        <v>247</v>
      </c>
      <c r="AF4" s="536" t="s">
        <v>246</v>
      </c>
      <c r="AG4" s="536" t="s">
        <v>247</v>
      </c>
      <c r="AH4" s="536" t="s">
        <v>246</v>
      </c>
      <c r="AI4" s="536" t="s">
        <v>247</v>
      </c>
      <c r="AJ4" s="536" t="s">
        <v>246</v>
      </c>
      <c r="AK4" s="536" t="s">
        <v>247</v>
      </c>
      <c r="AL4" s="536" t="s">
        <v>246</v>
      </c>
      <c r="AM4" s="536" t="s">
        <v>247</v>
      </c>
      <c r="AN4" s="536" t="s">
        <v>246</v>
      </c>
      <c r="AO4" s="536" t="s">
        <v>247</v>
      </c>
      <c r="AP4" s="536" t="s">
        <v>246</v>
      </c>
      <c r="AQ4" s="542" t="s">
        <v>247</v>
      </c>
      <c r="AR4" s="533" t="s">
        <v>246</v>
      </c>
      <c r="AS4" s="542" t="s">
        <v>247</v>
      </c>
      <c r="AT4" s="533" t="s">
        <v>246</v>
      </c>
      <c r="AU4" s="536" t="s">
        <v>247</v>
      </c>
      <c r="AV4" s="536" t="s">
        <v>246</v>
      </c>
      <c r="AW4" s="542" t="s">
        <v>247</v>
      </c>
      <c r="AX4" s="533" t="s">
        <v>246</v>
      </c>
      <c r="AY4" s="542" t="s">
        <v>247</v>
      </c>
      <c r="AZ4" s="533" t="s">
        <v>246</v>
      </c>
      <c r="BA4" s="536" t="s">
        <v>247</v>
      </c>
    </row>
    <row r="5" spans="1:53" s="186" customFormat="1" ht="14.25">
      <c r="A5" s="842" t="s">
        <v>60</v>
      </c>
      <c r="B5" s="194"/>
      <c r="C5" s="198"/>
      <c r="D5" s="195"/>
      <c r="E5" s="193"/>
      <c r="F5" s="195"/>
      <c r="G5" s="198"/>
      <c r="H5" s="195"/>
      <c r="I5" s="198"/>
      <c r="J5" s="195"/>
      <c r="K5" s="198"/>
      <c r="L5" s="195"/>
      <c r="M5" s="193"/>
      <c r="N5" s="195"/>
      <c r="O5" s="193"/>
      <c r="P5" s="195"/>
      <c r="Q5" s="198"/>
      <c r="R5" s="195"/>
      <c r="S5" s="193"/>
      <c r="T5" s="195"/>
      <c r="U5" s="193"/>
      <c r="V5" s="195"/>
      <c r="W5" s="193"/>
      <c r="X5" s="195"/>
      <c r="Y5" s="193"/>
      <c r="Z5" s="195"/>
      <c r="AA5" s="198"/>
      <c r="AB5" s="195"/>
      <c r="AC5" s="193"/>
      <c r="AD5" s="195"/>
      <c r="AE5" s="198"/>
      <c r="AF5" s="195"/>
      <c r="AG5" s="198"/>
      <c r="AH5" s="195"/>
      <c r="AI5" s="198"/>
      <c r="AJ5" s="195"/>
      <c r="AK5" s="198"/>
      <c r="AL5" s="195"/>
      <c r="AM5" s="198"/>
      <c r="AN5" s="195"/>
      <c r="AO5" s="198"/>
      <c r="AP5" s="195"/>
      <c r="AQ5" s="198"/>
      <c r="AR5" s="197"/>
      <c r="AS5" s="198"/>
      <c r="AT5" s="197"/>
      <c r="AU5" s="193"/>
      <c r="AV5" s="194"/>
      <c r="AW5" s="198"/>
      <c r="AX5" s="197"/>
      <c r="AY5" s="198"/>
      <c r="AZ5" s="831"/>
      <c r="BA5" s="200"/>
    </row>
    <row r="6" spans="1:53" s="186" customFormat="1" ht="14.25">
      <c r="A6" s="838" t="s">
        <v>61</v>
      </c>
      <c r="B6" s="836">
        <v>1183083</v>
      </c>
      <c r="C6" s="510">
        <v>1614549</v>
      </c>
      <c r="D6" s="128">
        <v>155685</v>
      </c>
      <c r="E6" s="129">
        <v>29541</v>
      </c>
      <c r="F6" s="128">
        <v>244433</v>
      </c>
      <c r="G6" s="140">
        <v>191308</v>
      </c>
      <c r="H6" s="128">
        <v>870617</v>
      </c>
      <c r="I6" s="140">
        <v>789096</v>
      </c>
      <c r="J6" s="128">
        <v>646104</v>
      </c>
      <c r="K6" s="140">
        <v>751852</v>
      </c>
      <c r="L6" s="128">
        <v>427113</v>
      </c>
      <c r="M6" s="129">
        <v>565950</v>
      </c>
      <c r="N6" s="128">
        <v>208735</v>
      </c>
      <c r="O6" s="129">
        <v>202444</v>
      </c>
      <c r="P6" s="128">
        <v>216637</v>
      </c>
      <c r="Q6" s="140">
        <v>212933</v>
      </c>
      <c r="R6" s="128">
        <v>1113600</v>
      </c>
      <c r="S6" s="129">
        <v>1290157</v>
      </c>
      <c r="T6" s="128">
        <v>206194</v>
      </c>
      <c r="U6" s="129">
        <v>295067</v>
      </c>
      <c r="V6" s="128">
        <v>5751219</v>
      </c>
      <c r="W6" s="129">
        <v>6469013</v>
      </c>
      <c r="X6" s="128">
        <v>3744119</v>
      </c>
      <c r="Y6" s="129">
        <v>4600880</v>
      </c>
      <c r="Z6" s="143">
        <v>677450</v>
      </c>
      <c r="AA6" s="511">
        <v>781360</v>
      </c>
      <c r="AB6" s="128">
        <v>292461</v>
      </c>
      <c r="AC6" s="129">
        <v>565521</v>
      </c>
      <c r="AD6" s="128">
        <v>2029168</v>
      </c>
      <c r="AE6" s="140">
        <v>2439596</v>
      </c>
      <c r="AF6" s="128">
        <v>5311890</v>
      </c>
      <c r="AG6" s="140">
        <v>6213943</v>
      </c>
      <c r="AH6" s="128">
        <v>11179957</v>
      </c>
      <c r="AI6" s="140">
        <v>1388999</v>
      </c>
      <c r="AJ6" s="128">
        <v>1648540</v>
      </c>
      <c r="AK6" s="140">
        <v>1132124</v>
      </c>
      <c r="AL6" s="128">
        <v>24941</v>
      </c>
      <c r="AM6" s="140">
        <v>26868</v>
      </c>
      <c r="AN6" s="244">
        <v>4785225</v>
      </c>
      <c r="AO6" s="202">
        <v>5056727</v>
      </c>
      <c r="AP6" s="145">
        <v>506253</v>
      </c>
      <c r="AQ6" s="158">
        <v>560890</v>
      </c>
      <c r="AR6" s="146">
        <v>792689</v>
      </c>
      <c r="AS6" s="159">
        <v>1039517</v>
      </c>
      <c r="AT6" s="127">
        <v>1095538</v>
      </c>
      <c r="AU6" s="129">
        <v>2186811</v>
      </c>
      <c r="AV6" s="160">
        <f aca="true" t="shared" si="0" ref="AV6:AW12">SUM(B6+D6+F6+H6+J6+L6+N6+P6+R6+T6+V6+X6+Z6+AB6+AD6+AF6+AH6+AJ6+AL6+AN6+AP6+AR6+AT6)</f>
        <v>43111651</v>
      </c>
      <c r="AW6" s="160">
        <f t="shared" si="0"/>
        <v>38405146</v>
      </c>
      <c r="AX6" s="146">
        <v>64731890</v>
      </c>
      <c r="AY6" s="159">
        <v>70965468</v>
      </c>
      <c r="AZ6" s="149">
        <f>AV6+AX6</f>
        <v>107843541</v>
      </c>
      <c r="BA6" s="162">
        <f>AW6+AY6</f>
        <v>109370614</v>
      </c>
    </row>
    <row r="7" spans="1:53" s="186" customFormat="1" ht="14.25">
      <c r="A7" s="838" t="s">
        <v>62</v>
      </c>
      <c r="B7" s="836">
        <v>991688</v>
      </c>
      <c r="C7" s="510">
        <v>929187</v>
      </c>
      <c r="D7" s="128">
        <v>34044</v>
      </c>
      <c r="E7" s="129">
        <v>27999</v>
      </c>
      <c r="F7" s="128">
        <v>175280</v>
      </c>
      <c r="G7" s="140">
        <v>161132</v>
      </c>
      <c r="H7" s="128">
        <v>696712</v>
      </c>
      <c r="I7" s="140">
        <v>674388</v>
      </c>
      <c r="J7" s="128">
        <v>185830</v>
      </c>
      <c r="K7" s="140">
        <v>249046</v>
      </c>
      <c r="L7" s="128">
        <v>104738</v>
      </c>
      <c r="M7" s="129">
        <v>117904</v>
      </c>
      <c r="N7" s="128">
        <v>33943</v>
      </c>
      <c r="O7" s="129">
        <v>48884</v>
      </c>
      <c r="P7" s="128">
        <v>47184</v>
      </c>
      <c r="Q7" s="140">
        <v>72524</v>
      </c>
      <c r="R7" s="128">
        <v>246247</v>
      </c>
      <c r="S7" s="129">
        <v>320953</v>
      </c>
      <c r="T7" s="128">
        <v>57381</v>
      </c>
      <c r="U7" s="129">
        <v>46800</v>
      </c>
      <c r="V7" s="128">
        <v>1224457</v>
      </c>
      <c r="W7" s="129">
        <v>1376922</v>
      </c>
      <c r="X7" s="128">
        <v>2402270</v>
      </c>
      <c r="Y7" s="129">
        <v>2903230</v>
      </c>
      <c r="Z7" s="143">
        <v>174451</v>
      </c>
      <c r="AA7" s="511">
        <v>180696</v>
      </c>
      <c r="AB7" s="128">
        <v>100351</v>
      </c>
      <c r="AC7" s="129">
        <v>121698</v>
      </c>
      <c r="AD7" s="128">
        <v>528126</v>
      </c>
      <c r="AE7" s="140">
        <v>757525</v>
      </c>
      <c r="AF7" s="128">
        <v>2887879</v>
      </c>
      <c r="AG7" s="140">
        <v>3139430</v>
      </c>
      <c r="AH7" s="128">
        <v>433064</v>
      </c>
      <c r="AI7" s="140">
        <v>404746</v>
      </c>
      <c r="AJ7" s="128">
        <v>808606</v>
      </c>
      <c r="AK7" s="140">
        <v>819780</v>
      </c>
      <c r="AL7" s="128">
        <v>50360</v>
      </c>
      <c r="AM7" s="140">
        <v>45851</v>
      </c>
      <c r="AN7" s="244">
        <v>2209077</v>
      </c>
      <c r="AO7" s="202">
        <v>2665109</v>
      </c>
      <c r="AP7" s="145">
        <v>97801</v>
      </c>
      <c r="AQ7" s="158">
        <v>138339</v>
      </c>
      <c r="AR7" s="146">
        <v>239384</v>
      </c>
      <c r="AS7" s="159">
        <v>319578</v>
      </c>
      <c r="AT7" s="127">
        <v>417275</v>
      </c>
      <c r="AU7" s="129">
        <v>464242</v>
      </c>
      <c r="AV7" s="160">
        <f t="shared" si="0"/>
        <v>14146148</v>
      </c>
      <c r="AW7" s="160">
        <f t="shared" si="0"/>
        <v>15985963</v>
      </c>
      <c r="AX7" s="146">
        <v>87711969</v>
      </c>
      <c r="AY7" s="159">
        <v>91357715</v>
      </c>
      <c r="AZ7" s="149">
        <f aca="true" t="shared" si="1" ref="AZ7:AZ25">AV7+AX7</f>
        <v>101858117</v>
      </c>
      <c r="BA7" s="162">
        <f aca="true" t="shared" si="2" ref="BA7:BA25">AW7+AY7</f>
        <v>107343678</v>
      </c>
    </row>
    <row r="8" spans="1:53" s="186" customFormat="1" ht="14.25">
      <c r="A8" s="838" t="s">
        <v>63</v>
      </c>
      <c r="B8" s="836">
        <v>5838</v>
      </c>
      <c r="C8" s="510">
        <v>6863</v>
      </c>
      <c r="D8" s="128">
        <v>73</v>
      </c>
      <c r="E8" s="129">
        <v>13</v>
      </c>
      <c r="F8" s="128">
        <v>785</v>
      </c>
      <c r="G8" s="140">
        <v>359</v>
      </c>
      <c r="H8" s="128">
        <v>21007</v>
      </c>
      <c r="I8" s="140">
        <v>8004</v>
      </c>
      <c r="J8" s="128">
        <v>546</v>
      </c>
      <c r="K8" s="140">
        <v>1911</v>
      </c>
      <c r="L8" s="128">
        <v>15312</v>
      </c>
      <c r="M8" s="129">
        <v>3345</v>
      </c>
      <c r="N8" s="128">
        <v>3378</v>
      </c>
      <c r="O8" s="129">
        <v>8670</v>
      </c>
      <c r="P8" s="128">
        <v>1605</v>
      </c>
      <c r="Q8" s="140">
        <v>3409</v>
      </c>
      <c r="R8" s="128">
        <v>10769</v>
      </c>
      <c r="S8" s="129">
        <v>25070</v>
      </c>
      <c r="T8" s="128">
        <v>206</v>
      </c>
      <c r="U8" s="129">
        <v>284</v>
      </c>
      <c r="V8" s="128">
        <v>42760</v>
      </c>
      <c r="W8" s="129">
        <v>74314</v>
      </c>
      <c r="X8" s="128">
        <v>53379</v>
      </c>
      <c r="Y8" s="129">
        <v>85050</v>
      </c>
      <c r="Z8" s="143">
        <v>36661</v>
      </c>
      <c r="AA8" s="511">
        <v>41806</v>
      </c>
      <c r="AB8" s="128">
        <v>5327</v>
      </c>
      <c r="AC8" s="129">
        <v>3441</v>
      </c>
      <c r="AD8" s="128">
        <v>23854</v>
      </c>
      <c r="AE8" s="140">
        <v>51023</v>
      </c>
      <c r="AF8" s="128">
        <v>10357</v>
      </c>
      <c r="AG8" s="140">
        <v>10903</v>
      </c>
      <c r="AH8" s="128">
        <v>1605</v>
      </c>
      <c r="AI8" s="140">
        <v>2776</v>
      </c>
      <c r="AJ8" s="128">
        <v>1633</v>
      </c>
      <c r="AK8" s="140">
        <v>2200</v>
      </c>
      <c r="AL8" s="128">
        <v>5298</v>
      </c>
      <c r="AM8" s="140">
        <v>5546</v>
      </c>
      <c r="AN8" s="244">
        <v>148274</v>
      </c>
      <c r="AO8" s="202">
        <v>111589</v>
      </c>
      <c r="AP8" s="145">
        <v>786</v>
      </c>
      <c r="AQ8" s="158">
        <v>3044</v>
      </c>
      <c r="AR8" s="146">
        <v>14627</v>
      </c>
      <c r="AS8" s="159">
        <v>10538</v>
      </c>
      <c r="AT8" s="127">
        <v>1711</v>
      </c>
      <c r="AU8" s="129">
        <v>648</v>
      </c>
      <c r="AV8" s="160">
        <f t="shared" si="0"/>
        <v>405791</v>
      </c>
      <c r="AW8" s="160">
        <f t="shared" si="0"/>
        <v>460806</v>
      </c>
      <c r="AX8" s="146">
        <v>2559365</v>
      </c>
      <c r="AY8" s="159">
        <v>3996289</v>
      </c>
      <c r="AZ8" s="149">
        <f t="shared" si="1"/>
        <v>2965156</v>
      </c>
      <c r="BA8" s="162">
        <f t="shared" si="2"/>
        <v>4457095</v>
      </c>
    </row>
    <row r="9" spans="1:53" s="515" customFormat="1" ht="14.25">
      <c r="A9" s="839" t="s">
        <v>54</v>
      </c>
      <c r="B9" s="152">
        <f aca="true" t="shared" si="3" ref="B9:V9">SUM(B6:B8)</f>
        <v>2180609</v>
      </c>
      <c r="C9" s="117">
        <f t="shared" si="3"/>
        <v>2550599</v>
      </c>
      <c r="D9" s="160">
        <f t="shared" si="3"/>
        <v>189802</v>
      </c>
      <c r="E9" s="162">
        <f t="shared" si="3"/>
        <v>57553</v>
      </c>
      <c r="F9" s="160">
        <f t="shared" si="3"/>
        <v>420498</v>
      </c>
      <c r="G9" s="160">
        <f t="shared" si="3"/>
        <v>352799</v>
      </c>
      <c r="H9" s="160">
        <f t="shared" si="3"/>
        <v>1588336</v>
      </c>
      <c r="I9" s="161">
        <f t="shared" si="3"/>
        <v>1471488</v>
      </c>
      <c r="J9" s="160">
        <f t="shared" si="3"/>
        <v>832480</v>
      </c>
      <c r="K9" s="160">
        <f t="shared" si="3"/>
        <v>1002809</v>
      </c>
      <c r="L9" s="160">
        <f t="shared" si="3"/>
        <v>547163</v>
      </c>
      <c r="M9" s="160">
        <f t="shared" si="3"/>
        <v>687199</v>
      </c>
      <c r="N9" s="160">
        <f t="shared" si="3"/>
        <v>246056</v>
      </c>
      <c r="O9" s="160">
        <f t="shared" si="3"/>
        <v>259998</v>
      </c>
      <c r="P9" s="160">
        <f t="shared" si="3"/>
        <v>265426</v>
      </c>
      <c r="Q9" s="160">
        <f t="shared" si="3"/>
        <v>288866</v>
      </c>
      <c r="R9" s="160">
        <f t="shared" si="3"/>
        <v>1370616</v>
      </c>
      <c r="S9" s="160">
        <f t="shared" si="3"/>
        <v>1636180</v>
      </c>
      <c r="T9" s="160">
        <f t="shared" si="3"/>
        <v>263781</v>
      </c>
      <c r="U9" s="160">
        <f t="shared" si="3"/>
        <v>342151</v>
      </c>
      <c r="V9" s="160">
        <f t="shared" si="3"/>
        <v>7018436</v>
      </c>
      <c r="W9" s="160">
        <f aca="true" t="shared" si="4" ref="W9:AU9">SUM(W6:W8)</f>
        <v>7920249</v>
      </c>
      <c r="X9" s="160">
        <f t="shared" si="4"/>
        <v>6199768</v>
      </c>
      <c r="Y9" s="160">
        <f t="shared" si="4"/>
        <v>7589160</v>
      </c>
      <c r="Z9" s="160">
        <f t="shared" si="4"/>
        <v>888562</v>
      </c>
      <c r="AA9" s="160">
        <f t="shared" si="4"/>
        <v>1003862</v>
      </c>
      <c r="AB9" s="160">
        <f t="shared" si="4"/>
        <v>398139</v>
      </c>
      <c r="AC9" s="160">
        <f t="shared" si="4"/>
        <v>690660</v>
      </c>
      <c r="AD9" s="160">
        <f t="shared" si="4"/>
        <v>2581148</v>
      </c>
      <c r="AE9" s="160">
        <f t="shared" si="4"/>
        <v>3248144</v>
      </c>
      <c r="AF9" s="160">
        <f t="shared" si="4"/>
        <v>8210126</v>
      </c>
      <c r="AG9" s="160">
        <f t="shared" si="4"/>
        <v>9364276</v>
      </c>
      <c r="AH9" s="160">
        <f t="shared" si="4"/>
        <v>11614626</v>
      </c>
      <c r="AI9" s="160">
        <f t="shared" si="4"/>
        <v>1796521</v>
      </c>
      <c r="AJ9" s="160">
        <f t="shared" si="4"/>
        <v>2458779</v>
      </c>
      <c r="AK9" s="160">
        <f t="shared" si="4"/>
        <v>1954104</v>
      </c>
      <c r="AL9" s="160">
        <f t="shared" si="4"/>
        <v>80599</v>
      </c>
      <c r="AM9" s="160">
        <f t="shared" si="4"/>
        <v>78265</v>
      </c>
      <c r="AN9" s="160">
        <f t="shared" si="4"/>
        <v>7142576</v>
      </c>
      <c r="AO9" s="160">
        <f t="shared" si="4"/>
        <v>7833425</v>
      </c>
      <c r="AP9" s="160">
        <f t="shared" si="4"/>
        <v>604840</v>
      </c>
      <c r="AQ9" s="160">
        <f t="shared" si="4"/>
        <v>702273</v>
      </c>
      <c r="AR9" s="160">
        <f t="shared" si="4"/>
        <v>1046700</v>
      </c>
      <c r="AS9" s="160">
        <f t="shared" si="4"/>
        <v>1369633</v>
      </c>
      <c r="AT9" s="160">
        <f t="shared" si="4"/>
        <v>1514524</v>
      </c>
      <c r="AU9" s="160">
        <f t="shared" si="4"/>
        <v>2651701</v>
      </c>
      <c r="AV9" s="160">
        <f t="shared" si="0"/>
        <v>57663590</v>
      </c>
      <c r="AW9" s="160">
        <f t="shared" si="0"/>
        <v>54851915</v>
      </c>
      <c r="AX9" s="514">
        <f>SUM(AX6:AX8)</f>
        <v>155003224</v>
      </c>
      <c r="AY9" s="829">
        <f>SUM(AY6:AY8)</f>
        <v>166319472</v>
      </c>
      <c r="AZ9" s="149">
        <f t="shared" si="1"/>
        <v>212666814</v>
      </c>
      <c r="BA9" s="162">
        <f t="shared" si="2"/>
        <v>221171387</v>
      </c>
    </row>
    <row r="10" spans="1:53" s="186" customFormat="1" ht="14.25">
      <c r="A10" s="838" t="s">
        <v>64</v>
      </c>
      <c r="B10" s="152"/>
      <c r="C10" s="516"/>
      <c r="D10" s="153"/>
      <c r="E10" s="154"/>
      <c r="F10" s="153"/>
      <c r="G10" s="155"/>
      <c r="H10" s="153"/>
      <c r="I10" s="155"/>
      <c r="J10" s="153"/>
      <c r="K10" s="155"/>
      <c r="L10" s="153"/>
      <c r="M10" s="154"/>
      <c r="N10" s="153"/>
      <c r="O10" s="154"/>
      <c r="P10" s="153"/>
      <c r="Q10" s="155"/>
      <c r="R10" s="153"/>
      <c r="S10" s="154"/>
      <c r="T10" s="153"/>
      <c r="U10" s="154"/>
      <c r="V10" s="153"/>
      <c r="W10" s="154"/>
      <c r="X10" s="153"/>
      <c r="Y10" s="154"/>
      <c r="Z10" s="143"/>
      <c r="AA10" s="511"/>
      <c r="AB10" s="153"/>
      <c r="AC10" s="154"/>
      <c r="AD10" s="517"/>
      <c r="AE10" s="518"/>
      <c r="AF10" s="153"/>
      <c r="AG10" s="155"/>
      <c r="AH10" s="153"/>
      <c r="AI10" s="155"/>
      <c r="AJ10" s="153"/>
      <c r="AK10" s="155"/>
      <c r="AL10" s="128"/>
      <c r="AM10" s="140"/>
      <c r="AN10" s="128"/>
      <c r="AO10" s="140"/>
      <c r="AP10" s="145"/>
      <c r="AQ10" s="158"/>
      <c r="AR10" s="146"/>
      <c r="AS10" s="159"/>
      <c r="AT10" s="149"/>
      <c r="AU10" s="154"/>
      <c r="AV10" s="160">
        <f t="shared" si="0"/>
        <v>0</v>
      </c>
      <c r="AW10" s="160">
        <f t="shared" si="0"/>
        <v>0</v>
      </c>
      <c r="AX10" s="149"/>
      <c r="AY10" s="155"/>
      <c r="AZ10" s="149">
        <f t="shared" si="1"/>
        <v>0</v>
      </c>
      <c r="BA10" s="162">
        <f t="shared" si="2"/>
        <v>0</v>
      </c>
    </row>
    <row r="11" spans="1:53" s="186" customFormat="1" ht="14.25">
      <c r="A11" s="838" t="s">
        <v>65</v>
      </c>
      <c r="B11" s="836"/>
      <c r="C11" s="510"/>
      <c r="D11" s="128"/>
      <c r="E11" s="129"/>
      <c r="F11" s="128"/>
      <c r="G11" s="140"/>
      <c r="H11" s="128">
        <v>-14274</v>
      </c>
      <c r="I11" s="140">
        <v>-7089</v>
      </c>
      <c r="J11" s="128"/>
      <c r="K11" s="140"/>
      <c r="L11" s="128"/>
      <c r="M11" s="129"/>
      <c r="N11" s="128"/>
      <c r="O11" s="129"/>
      <c r="P11" s="128"/>
      <c r="Q11" s="140"/>
      <c r="R11" s="128"/>
      <c r="S11" s="129"/>
      <c r="T11" s="128"/>
      <c r="U11" s="129"/>
      <c r="V11" s="128"/>
      <c r="W11" s="129"/>
      <c r="X11" s="128"/>
      <c r="Y11" s="129"/>
      <c r="Z11" s="128"/>
      <c r="AA11" s="140"/>
      <c r="AB11" s="128"/>
      <c r="AC11" s="129"/>
      <c r="AD11" s="128"/>
      <c r="AE11" s="140"/>
      <c r="AF11" s="128"/>
      <c r="AG11" s="140"/>
      <c r="AH11" s="128"/>
      <c r="AI11" s="140"/>
      <c r="AJ11" s="128"/>
      <c r="AK11" s="140"/>
      <c r="AL11" s="128"/>
      <c r="AM11" s="140"/>
      <c r="AN11" s="128"/>
      <c r="AO11" s="140"/>
      <c r="AP11" s="145"/>
      <c r="AQ11" s="158"/>
      <c r="AR11" s="146"/>
      <c r="AS11" s="159"/>
      <c r="AT11" s="127">
        <v>-19629</v>
      </c>
      <c r="AU11" s="129">
        <v>-8220</v>
      </c>
      <c r="AV11" s="160">
        <f t="shared" si="0"/>
        <v>-33903</v>
      </c>
      <c r="AW11" s="160">
        <f t="shared" si="0"/>
        <v>-15309</v>
      </c>
      <c r="AX11" s="146">
        <v>231566</v>
      </c>
      <c r="AY11" s="159">
        <v>418806</v>
      </c>
      <c r="AZ11" s="149">
        <f t="shared" si="1"/>
        <v>197663</v>
      </c>
      <c r="BA11" s="162">
        <f t="shared" si="2"/>
        <v>403497</v>
      </c>
    </row>
    <row r="12" spans="1:53" s="515" customFormat="1" ht="14.25">
      <c r="A12" s="839" t="s">
        <v>66</v>
      </c>
      <c r="B12" s="152">
        <f aca="true" t="shared" si="5" ref="B12:G12">B9</f>
        <v>2180609</v>
      </c>
      <c r="C12" s="512">
        <f t="shared" si="5"/>
        <v>2550599</v>
      </c>
      <c r="D12" s="117">
        <f t="shared" si="5"/>
        <v>189802</v>
      </c>
      <c r="E12" s="519">
        <f t="shared" si="5"/>
        <v>57553</v>
      </c>
      <c r="F12" s="117">
        <f t="shared" si="5"/>
        <v>420498</v>
      </c>
      <c r="G12" s="512">
        <f t="shared" si="5"/>
        <v>352799</v>
      </c>
      <c r="H12" s="117">
        <f>H9+H11</f>
        <v>1574062</v>
      </c>
      <c r="I12" s="512">
        <f>I9+I11</f>
        <v>1464399</v>
      </c>
      <c r="J12" s="117">
        <f>J9</f>
        <v>832480</v>
      </c>
      <c r="K12" s="512">
        <f>K9</f>
        <v>1002809</v>
      </c>
      <c r="L12" s="117">
        <f>L9</f>
        <v>547163</v>
      </c>
      <c r="M12" s="519">
        <f>M9</f>
        <v>687199</v>
      </c>
      <c r="N12" s="117"/>
      <c r="O12" s="519"/>
      <c r="P12" s="117">
        <f aca="true" t="shared" si="6" ref="P12:U12">P9</f>
        <v>265426</v>
      </c>
      <c r="Q12" s="512">
        <f t="shared" si="6"/>
        <v>288866</v>
      </c>
      <c r="R12" s="117">
        <f t="shared" si="6"/>
        <v>1370616</v>
      </c>
      <c r="S12" s="117">
        <f t="shared" si="6"/>
        <v>1636180</v>
      </c>
      <c r="T12" s="117">
        <f t="shared" si="6"/>
        <v>263781</v>
      </c>
      <c r="U12" s="117">
        <f t="shared" si="6"/>
        <v>342151</v>
      </c>
      <c r="V12" s="117"/>
      <c r="W12" s="117"/>
      <c r="X12" s="117"/>
      <c r="Y12" s="117"/>
      <c r="Z12" s="117">
        <f aca="true" t="shared" si="7" ref="Z12:AK12">Z9</f>
        <v>888562</v>
      </c>
      <c r="AA12" s="117">
        <f t="shared" si="7"/>
        <v>1003862</v>
      </c>
      <c r="AB12" s="117">
        <f t="shared" si="7"/>
        <v>398139</v>
      </c>
      <c r="AC12" s="117">
        <f t="shared" si="7"/>
        <v>690660</v>
      </c>
      <c r="AD12" s="117">
        <f t="shared" si="7"/>
        <v>2581148</v>
      </c>
      <c r="AE12" s="512">
        <f t="shared" si="7"/>
        <v>3248144</v>
      </c>
      <c r="AF12" s="149">
        <f t="shared" si="7"/>
        <v>8210126</v>
      </c>
      <c r="AG12" s="149">
        <f t="shared" si="7"/>
        <v>9364276</v>
      </c>
      <c r="AH12" s="149">
        <f t="shared" si="7"/>
        <v>11614626</v>
      </c>
      <c r="AI12" s="149">
        <f t="shared" si="7"/>
        <v>1796521</v>
      </c>
      <c r="AJ12" s="160">
        <f t="shared" si="7"/>
        <v>2458779</v>
      </c>
      <c r="AK12" s="161">
        <f t="shared" si="7"/>
        <v>1954104</v>
      </c>
      <c r="AL12" s="160"/>
      <c r="AM12" s="161"/>
      <c r="AN12" s="211">
        <f aca="true" t="shared" si="8" ref="AN12:AS12">AN9</f>
        <v>7142576</v>
      </c>
      <c r="AO12" s="203">
        <f t="shared" si="8"/>
        <v>7833425</v>
      </c>
      <c r="AP12" s="211">
        <f t="shared" si="8"/>
        <v>604840</v>
      </c>
      <c r="AQ12" s="203">
        <f t="shared" si="8"/>
        <v>702273</v>
      </c>
      <c r="AR12" s="513">
        <f t="shared" si="8"/>
        <v>1046700</v>
      </c>
      <c r="AS12" s="203">
        <f t="shared" si="8"/>
        <v>1369633</v>
      </c>
      <c r="AT12" s="513">
        <f>AT9+AT11</f>
        <v>1494895</v>
      </c>
      <c r="AU12" s="768">
        <f>AU9+AU11</f>
        <v>2643481</v>
      </c>
      <c r="AV12" s="160">
        <f t="shared" si="0"/>
        <v>44084828</v>
      </c>
      <c r="AW12" s="160">
        <f t="shared" si="0"/>
        <v>38988934</v>
      </c>
      <c r="AX12" s="514">
        <v>154771658</v>
      </c>
      <c r="AY12" s="830">
        <v>165900666</v>
      </c>
      <c r="AZ12" s="149">
        <f t="shared" si="1"/>
        <v>198856486</v>
      </c>
      <c r="BA12" s="162">
        <f t="shared" si="2"/>
        <v>204889600</v>
      </c>
    </row>
    <row r="13" spans="1:53" s="186" customFormat="1" ht="14.25">
      <c r="A13" s="839" t="s">
        <v>67</v>
      </c>
      <c r="B13" s="836"/>
      <c r="C13" s="510"/>
      <c r="D13" s="128"/>
      <c r="E13" s="129"/>
      <c r="F13" s="128"/>
      <c r="G13" s="140"/>
      <c r="H13" s="128"/>
      <c r="I13" s="140"/>
      <c r="J13" s="128"/>
      <c r="K13" s="140"/>
      <c r="L13" s="128"/>
      <c r="M13" s="129"/>
      <c r="N13" s="128"/>
      <c r="O13" s="129"/>
      <c r="P13" s="128"/>
      <c r="Q13" s="140"/>
      <c r="R13" s="128"/>
      <c r="S13" s="129"/>
      <c r="T13" s="128"/>
      <c r="U13" s="129"/>
      <c r="V13" s="128"/>
      <c r="W13" s="129"/>
      <c r="X13" s="128"/>
      <c r="Y13" s="129"/>
      <c r="Z13" s="128"/>
      <c r="AA13" s="140"/>
      <c r="AB13" s="128"/>
      <c r="AC13" s="129"/>
      <c r="AD13" s="128"/>
      <c r="AE13" s="140"/>
      <c r="AF13" s="128"/>
      <c r="AG13" s="140"/>
      <c r="AH13" s="128"/>
      <c r="AI13" s="140"/>
      <c r="AJ13" s="128"/>
      <c r="AK13" s="140"/>
      <c r="AL13" s="128"/>
      <c r="AM13" s="140"/>
      <c r="AN13" s="128"/>
      <c r="AO13" s="140"/>
      <c r="AP13" s="145"/>
      <c r="AQ13" s="158"/>
      <c r="AR13" s="146"/>
      <c r="AS13" s="159"/>
      <c r="AT13" s="127"/>
      <c r="AU13" s="129"/>
      <c r="AV13" s="160"/>
      <c r="AW13" s="161"/>
      <c r="AX13" s="146"/>
      <c r="AY13" s="159"/>
      <c r="AZ13" s="149">
        <f t="shared" si="1"/>
        <v>0</v>
      </c>
      <c r="BA13" s="162">
        <f t="shared" si="2"/>
        <v>0</v>
      </c>
    </row>
    <row r="14" spans="1:53" s="186" customFormat="1" ht="14.25">
      <c r="A14" s="839" t="s">
        <v>68</v>
      </c>
      <c r="B14" s="836"/>
      <c r="C14" s="510"/>
      <c r="D14" s="128"/>
      <c r="E14" s="129"/>
      <c r="F14" s="128"/>
      <c r="G14" s="140"/>
      <c r="H14" s="128"/>
      <c r="I14" s="140"/>
      <c r="J14" s="128"/>
      <c r="K14" s="140"/>
      <c r="L14" s="128"/>
      <c r="M14" s="129"/>
      <c r="N14" s="128"/>
      <c r="O14" s="129"/>
      <c r="P14" s="128"/>
      <c r="Q14" s="140"/>
      <c r="R14" s="128"/>
      <c r="S14" s="129"/>
      <c r="T14" s="128"/>
      <c r="U14" s="129"/>
      <c r="V14" s="128"/>
      <c r="W14" s="129"/>
      <c r="X14" s="128"/>
      <c r="Y14" s="129"/>
      <c r="Z14" s="128"/>
      <c r="AA14" s="140"/>
      <c r="AB14" s="128"/>
      <c r="AC14" s="129"/>
      <c r="AD14" s="128"/>
      <c r="AE14" s="140"/>
      <c r="AF14" s="128"/>
      <c r="AG14" s="140"/>
      <c r="AH14" s="128"/>
      <c r="AI14" s="140"/>
      <c r="AJ14" s="128"/>
      <c r="AK14" s="140"/>
      <c r="AL14" s="128"/>
      <c r="AM14" s="140"/>
      <c r="AN14" s="128"/>
      <c r="AO14" s="140"/>
      <c r="AP14" s="145"/>
      <c r="AQ14" s="158"/>
      <c r="AR14" s="146"/>
      <c r="AS14" s="159"/>
      <c r="AT14" s="127"/>
      <c r="AU14" s="129"/>
      <c r="AV14" s="160"/>
      <c r="AW14" s="161"/>
      <c r="AX14" s="146"/>
      <c r="AY14" s="159"/>
      <c r="AZ14" s="149">
        <f t="shared" si="1"/>
        <v>0</v>
      </c>
      <c r="BA14" s="162">
        <f t="shared" si="2"/>
        <v>0</v>
      </c>
    </row>
    <row r="15" spans="1:53" s="186" customFormat="1" ht="14.25">
      <c r="A15" s="838" t="s">
        <v>69</v>
      </c>
      <c r="B15" s="152">
        <v>1678933</v>
      </c>
      <c r="C15" s="516">
        <v>1910609</v>
      </c>
      <c r="D15" s="153">
        <v>118883</v>
      </c>
      <c r="E15" s="154">
        <v>36128</v>
      </c>
      <c r="F15" s="153">
        <v>240726</v>
      </c>
      <c r="G15" s="155">
        <v>256273</v>
      </c>
      <c r="H15" s="153">
        <v>1350134</v>
      </c>
      <c r="I15" s="155">
        <v>1289262</v>
      </c>
      <c r="J15" s="153">
        <v>293928</v>
      </c>
      <c r="K15" s="155">
        <v>386862</v>
      </c>
      <c r="L15" s="153"/>
      <c r="M15" s="154"/>
      <c r="N15" s="153">
        <v>121403</v>
      </c>
      <c r="O15" s="154">
        <v>178465</v>
      </c>
      <c r="P15" s="153">
        <v>162771</v>
      </c>
      <c r="Q15" s="155">
        <v>198216</v>
      </c>
      <c r="R15" s="153">
        <v>955359</v>
      </c>
      <c r="S15" s="154">
        <v>1144701</v>
      </c>
      <c r="T15" s="153">
        <v>159762</v>
      </c>
      <c r="U15" s="154">
        <v>183406</v>
      </c>
      <c r="V15" s="153">
        <v>1145030</v>
      </c>
      <c r="W15" s="154">
        <v>1326166</v>
      </c>
      <c r="X15" s="153">
        <v>1630139</v>
      </c>
      <c r="Y15" s="154">
        <v>2101115</v>
      </c>
      <c r="Z15" s="143">
        <v>120890</v>
      </c>
      <c r="AA15" s="511">
        <v>91990</v>
      </c>
      <c r="AB15" s="153">
        <v>35998</v>
      </c>
      <c r="AC15" s="154">
        <v>38329</v>
      </c>
      <c r="AD15" s="517">
        <v>1510742</v>
      </c>
      <c r="AE15" s="518">
        <v>1116279</v>
      </c>
      <c r="AF15" s="153">
        <v>1829046</v>
      </c>
      <c r="AG15" s="155">
        <v>2403556</v>
      </c>
      <c r="AH15" s="153">
        <v>312251</v>
      </c>
      <c r="AI15" s="155">
        <v>210910</v>
      </c>
      <c r="AJ15" s="153">
        <v>1899427</v>
      </c>
      <c r="AK15" s="155">
        <v>1596120</v>
      </c>
      <c r="AL15" s="128">
        <v>78103</v>
      </c>
      <c r="AM15" s="140">
        <v>76168</v>
      </c>
      <c r="AN15" s="244">
        <v>3057247</v>
      </c>
      <c r="AO15" s="202">
        <v>3283812</v>
      </c>
      <c r="AP15" s="145">
        <v>173979</v>
      </c>
      <c r="AQ15" s="158">
        <v>172391</v>
      </c>
      <c r="AR15" s="146">
        <v>74093</v>
      </c>
      <c r="AS15" s="159">
        <v>45737</v>
      </c>
      <c r="AT15" s="149">
        <v>934740</v>
      </c>
      <c r="AU15" s="154">
        <v>1335289</v>
      </c>
      <c r="AV15" s="160">
        <f>SUM(B15+D15+F15+H15+J15+L15+N15+P15+R15+T15+V15+X15+Z15+AB15+AD15+AF15+AH15+AJ15+AL15+AN15+AP15+AR15+AT15)</f>
        <v>17883584</v>
      </c>
      <c r="AW15" s="160">
        <f>SUM(C15+E15+G15+I15+K15+M15+O15+Q15+S15+U15+W15+Y15+AA15+AC15+AE15+AG15+AI15+AK15+AM15+AO15+AQ15+AS15+AU15)</f>
        <v>19381784</v>
      </c>
      <c r="AX15" s="149">
        <v>154065908</v>
      </c>
      <c r="AY15" s="155">
        <v>165584052</v>
      </c>
      <c r="AZ15" s="149">
        <f t="shared" si="1"/>
        <v>171949492</v>
      </c>
      <c r="BA15" s="162">
        <f t="shared" si="2"/>
        <v>184965836</v>
      </c>
    </row>
    <row r="16" spans="1:53" s="186" customFormat="1" ht="14.25">
      <c r="A16" s="838" t="s">
        <v>6</v>
      </c>
      <c r="B16" s="836">
        <v>123181</v>
      </c>
      <c r="C16" s="510">
        <v>148243</v>
      </c>
      <c r="D16" s="128">
        <v>58105</v>
      </c>
      <c r="E16" s="129">
        <v>-3138</v>
      </c>
      <c r="F16" s="128">
        <v>16089</v>
      </c>
      <c r="G16" s="140">
        <v>12720</v>
      </c>
      <c r="H16" s="128">
        <v>66739</v>
      </c>
      <c r="I16" s="140">
        <v>37150</v>
      </c>
      <c r="J16" s="128">
        <v>524516</v>
      </c>
      <c r="K16" s="140">
        <v>561054</v>
      </c>
      <c r="L16" s="128"/>
      <c r="M16" s="129"/>
      <c r="N16" s="128">
        <v>45420</v>
      </c>
      <c r="O16" s="129">
        <v>3298</v>
      </c>
      <c r="P16" s="128">
        <v>55563</v>
      </c>
      <c r="Q16" s="140">
        <v>24884</v>
      </c>
      <c r="R16" s="128">
        <v>335506</v>
      </c>
      <c r="S16" s="129">
        <v>370506</v>
      </c>
      <c r="T16" s="128">
        <v>88996</v>
      </c>
      <c r="U16" s="129">
        <v>115020</v>
      </c>
      <c r="V16" s="128">
        <v>301795</v>
      </c>
      <c r="W16" s="129">
        <v>415091</v>
      </c>
      <c r="X16" s="128">
        <v>4181596</v>
      </c>
      <c r="Y16" s="129">
        <v>5001763</v>
      </c>
      <c r="Z16" s="143">
        <v>7673</v>
      </c>
      <c r="AA16" s="511">
        <v>10770</v>
      </c>
      <c r="AB16" s="128">
        <v>7454</v>
      </c>
      <c r="AC16" s="129">
        <v>6852</v>
      </c>
      <c r="AD16" s="128">
        <v>148999</v>
      </c>
      <c r="AE16" s="140">
        <v>150689</v>
      </c>
      <c r="AF16" s="128">
        <v>7029</v>
      </c>
      <c r="AG16" s="140">
        <v>3230</v>
      </c>
      <c r="AH16" s="128">
        <v>14287</v>
      </c>
      <c r="AI16" s="140">
        <v>17456</v>
      </c>
      <c r="AJ16" s="128">
        <v>349534</v>
      </c>
      <c r="AK16" s="140">
        <v>190597</v>
      </c>
      <c r="AL16" s="128"/>
      <c r="AM16" s="140"/>
      <c r="AN16" s="244">
        <v>49278</v>
      </c>
      <c r="AO16" s="202">
        <v>27336</v>
      </c>
      <c r="AP16" s="145">
        <v>9235</v>
      </c>
      <c r="AQ16" s="158">
        <v>26908</v>
      </c>
      <c r="AR16" s="146">
        <v>790</v>
      </c>
      <c r="AS16" s="159">
        <v>778</v>
      </c>
      <c r="AT16" s="127">
        <v>89941</v>
      </c>
      <c r="AU16" s="129">
        <v>230189</v>
      </c>
      <c r="AV16" s="160">
        <f aca="true" t="shared" si="9" ref="AV16:AV24">SUM(B16+D16+F16+H16+J16+L16+N16+P16+R16+T16+V16+X16+Z16+AB16+AD16+AF16+AH16+AJ16+AL16+AN16+AP16+AR16+AT16)</f>
        <v>6481726</v>
      </c>
      <c r="AW16" s="160">
        <f aca="true" t="shared" si="10" ref="AW16:AW24">SUM(C16+E16+G16+I16+K16+M16+O16+Q16+S16+U16+W16+Y16+AA16+AC16+AE16+AG16+AI16+AK16+AM16+AO16+AQ16+AS16+AU16)</f>
        <v>7351396</v>
      </c>
      <c r="AX16" s="127">
        <v>26278</v>
      </c>
      <c r="AY16" s="140">
        <v>24095</v>
      </c>
      <c r="AZ16" s="149">
        <f t="shared" si="1"/>
        <v>6508004</v>
      </c>
      <c r="BA16" s="162">
        <f t="shared" si="2"/>
        <v>7375491</v>
      </c>
    </row>
    <row r="17" spans="1:53" s="186" customFormat="1" ht="14.25">
      <c r="A17" s="838" t="s">
        <v>70</v>
      </c>
      <c r="B17" s="836">
        <v>378525</v>
      </c>
      <c r="C17" s="510">
        <v>491747</v>
      </c>
      <c r="D17" s="128">
        <v>12814</v>
      </c>
      <c r="E17" s="129">
        <v>24552</v>
      </c>
      <c r="F17" s="128">
        <v>163715</v>
      </c>
      <c r="G17" s="140">
        <v>79064</v>
      </c>
      <c r="H17" s="128">
        <v>171463</v>
      </c>
      <c r="I17" s="140">
        <v>145076</v>
      </c>
      <c r="J17" s="128">
        <v>14036</v>
      </c>
      <c r="K17" s="140">
        <v>54893</v>
      </c>
      <c r="L17" s="128"/>
      <c r="M17" s="129"/>
      <c r="N17" s="128">
        <v>78034</v>
      </c>
      <c r="O17" s="129">
        <v>74720</v>
      </c>
      <c r="P17" s="128">
        <v>47092</v>
      </c>
      <c r="Q17" s="140">
        <v>65766</v>
      </c>
      <c r="R17" s="128">
        <v>58608</v>
      </c>
      <c r="S17" s="129">
        <v>66038</v>
      </c>
      <c r="T17" s="128">
        <v>15023</v>
      </c>
      <c r="U17" s="129">
        <v>43697</v>
      </c>
      <c r="V17" s="128">
        <v>5571600</v>
      </c>
      <c r="W17" s="129">
        <v>6173812</v>
      </c>
      <c r="X17" s="128">
        <v>388033</v>
      </c>
      <c r="Y17" s="129">
        <v>485163</v>
      </c>
      <c r="Z17" s="143">
        <v>759998</v>
      </c>
      <c r="AA17" s="511">
        <v>901102</v>
      </c>
      <c r="AB17" s="128">
        <v>354472</v>
      </c>
      <c r="AC17" s="129">
        <v>644917</v>
      </c>
      <c r="AD17" s="128">
        <v>1588403</v>
      </c>
      <c r="AE17" s="140">
        <v>1314188</v>
      </c>
      <c r="AF17" s="128">
        <v>491210</v>
      </c>
      <c r="AG17" s="140">
        <v>300997</v>
      </c>
      <c r="AH17" s="128">
        <v>1279340</v>
      </c>
      <c r="AI17" s="140">
        <v>1577861</v>
      </c>
      <c r="AJ17" s="128">
        <v>209818</v>
      </c>
      <c r="AK17" s="140">
        <v>167387</v>
      </c>
      <c r="AL17" s="128">
        <v>2496</v>
      </c>
      <c r="AM17" s="140">
        <v>2097</v>
      </c>
      <c r="AN17" s="244">
        <v>72339</v>
      </c>
      <c r="AO17" s="202">
        <v>67431</v>
      </c>
      <c r="AP17" s="145">
        <v>421626</v>
      </c>
      <c r="AQ17" s="158">
        <v>502975</v>
      </c>
      <c r="AR17" s="146"/>
      <c r="AS17" s="159"/>
      <c r="AT17" s="127">
        <v>12503</v>
      </c>
      <c r="AU17" s="129">
        <v>15782</v>
      </c>
      <c r="AV17" s="160">
        <f t="shared" si="9"/>
        <v>12091148</v>
      </c>
      <c r="AW17" s="160">
        <f t="shared" si="10"/>
        <v>13199265</v>
      </c>
      <c r="AX17" s="127">
        <v>208279</v>
      </c>
      <c r="AY17" s="140">
        <v>161459</v>
      </c>
      <c r="AZ17" s="149">
        <f t="shared" si="1"/>
        <v>12299427</v>
      </c>
      <c r="BA17" s="162">
        <f t="shared" si="2"/>
        <v>13360724</v>
      </c>
    </row>
    <row r="18" spans="1:53" s="186" customFormat="1" ht="14.25">
      <c r="A18" s="838" t="s">
        <v>71</v>
      </c>
      <c r="B18" s="836"/>
      <c r="C18" s="510"/>
      <c r="D18" s="128"/>
      <c r="E18" s="129"/>
      <c r="F18" s="128"/>
      <c r="G18" s="140"/>
      <c r="H18" s="128"/>
      <c r="I18" s="140"/>
      <c r="J18" s="128"/>
      <c r="K18" s="140"/>
      <c r="L18" s="128">
        <v>547163</v>
      </c>
      <c r="M18" s="129">
        <v>687199</v>
      </c>
      <c r="N18" s="128">
        <v>339</v>
      </c>
      <c r="O18" s="129">
        <v>1247</v>
      </c>
      <c r="P18" s="128"/>
      <c r="Q18" s="140"/>
      <c r="R18" s="128">
        <v>18017</v>
      </c>
      <c r="S18" s="129">
        <v>25260</v>
      </c>
      <c r="T18" s="128"/>
      <c r="U18" s="129"/>
      <c r="V18" s="128"/>
      <c r="W18" s="129"/>
      <c r="X18" s="128"/>
      <c r="Y18" s="129"/>
      <c r="Z18" s="143"/>
      <c r="AA18" s="511"/>
      <c r="AB18" s="128"/>
      <c r="AC18" s="129"/>
      <c r="AD18" s="128"/>
      <c r="AE18" s="140"/>
      <c r="AF18" s="128">
        <v>5882852</v>
      </c>
      <c r="AG18" s="140">
        <v>6656492</v>
      </c>
      <c r="AH18" s="128"/>
      <c r="AI18" s="140"/>
      <c r="AJ18" s="128"/>
      <c r="AK18" s="140"/>
      <c r="AL18" s="128"/>
      <c r="AM18" s="140"/>
      <c r="AN18" s="244">
        <v>3963623</v>
      </c>
      <c r="AO18" s="202">
        <v>4454632</v>
      </c>
      <c r="AP18" s="145"/>
      <c r="AQ18" s="158"/>
      <c r="AR18" s="146">
        <v>971817</v>
      </c>
      <c r="AS18" s="159">
        <v>1323118</v>
      </c>
      <c r="AT18" s="127">
        <v>477340</v>
      </c>
      <c r="AU18" s="129">
        <v>1070441</v>
      </c>
      <c r="AV18" s="160">
        <f t="shared" si="9"/>
        <v>11861151</v>
      </c>
      <c r="AW18" s="160">
        <f t="shared" si="10"/>
        <v>14218389</v>
      </c>
      <c r="AX18" s="127">
        <v>702759</v>
      </c>
      <c r="AY18" s="140">
        <v>549148</v>
      </c>
      <c r="AZ18" s="149">
        <f t="shared" si="1"/>
        <v>12563910</v>
      </c>
      <c r="BA18" s="162">
        <f t="shared" si="2"/>
        <v>14767537</v>
      </c>
    </row>
    <row r="19" spans="1:53" s="186" customFormat="1" ht="14.25">
      <c r="A19" s="838" t="s">
        <v>72</v>
      </c>
      <c r="B19" s="836"/>
      <c r="C19" s="510"/>
      <c r="D19" s="128"/>
      <c r="E19" s="129"/>
      <c r="F19" s="128"/>
      <c r="G19" s="140"/>
      <c r="H19" s="128"/>
      <c r="I19" s="140"/>
      <c r="J19" s="128"/>
      <c r="K19" s="140"/>
      <c r="L19" s="128"/>
      <c r="M19" s="129"/>
      <c r="N19" s="128"/>
      <c r="O19" s="129"/>
      <c r="P19" s="128"/>
      <c r="Q19" s="140"/>
      <c r="R19" s="128"/>
      <c r="S19" s="129"/>
      <c r="T19" s="128"/>
      <c r="U19" s="129"/>
      <c r="V19" s="128"/>
      <c r="W19" s="129">
        <v>2012</v>
      </c>
      <c r="Z19" s="143"/>
      <c r="AA19" s="511"/>
      <c r="AB19" s="128"/>
      <c r="AC19" s="129"/>
      <c r="AD19" s="128"/>
      <c r="AE19" s="140"/>
      <c r="AF19" s="128"/>
      <c r="AG19" s="140"/>
      <c r="AH19" s="128"/>
      <c r="AI19" s="140"/>
      <c r="AJ19" s="128"/>
      <c r="AK19" s="140"/>
      <c r="AL19" s="128"/>
      <c r="AM19" s="140"/>
      <c r="AN19" s="128">
        <v>16</v>
      </c>
      <c r="AO19" s="140">
        <v>11</v>
      </c>
      <c r="AP19" s="145"/>
      <c r="AQ19" s="158"/>
      <c r="AR19" s="146"/>
      <c r="AS19" s="159"/>
      <c r="AT19" s="127"/>
      <c r="AU19" s="129"/>
      <c r="AV19" s="160">
        <f t="shared" si="9"/>
        <v>16</v>
      </c>
      <c r="AW19" s="160">
        <f t="shared" si="10"/>
        <v>2023</v>
      </c>
      <c r="AX19" s="127"/>
      <c r="AY19" s="140"/>
      <c r="AZ19" s="149">
        <f t="shared" si="1"/>
        <v>16</v>
      </c>
      <c r="BA19" s="162">
        <f t="shared" si="2"/>
        <v>2023</v>
      </c>
    </row>
    <row r="20" spans="1:53" s="186" customFormat="1" ht="14.25">
      <c r="A20" s="838" t="s">
        <v>15</v>
      </c>
      <c r="B20" s="152"/>
      <c r="C20" s="516"/>
      <c r="D20" s="153"/>
      <c r="E20" s="154"/>
      <c r="F20" s="153"/>
      <c r="G20" s="155"/>
      <c r="H20" s="153"/>
      <c r="I20" s="155"/>
      <c r="J20" s="153"/>
      <c r="K20" s="155"/>
      <c r="L20" s="153"/>
      <c r="M20" s="154"/>
      <c r="N20" s="153"/>
      <c r="O20" s="154"/>
      <c r="P20" s="153"/>
      <c r="Q20" s="155"/>
      <c r="R20" s="153"/>
      <c r="S20" s="154"/>
      <c r="T20" s="153"/>
      <c r="U20" s="154"/>
      <c r="V20" s="153"/>
      <c r="W20" s="154">
        <v>20</v>
      </c>
      <c r="X20" s="153"/>
      <c r="Y20" s="154"/>
      <c r="Z20" s="143"/>
      <c r="AA20" s="511"/>
      <c r="AB20" s="153">
        <v>216</v>
      </c>
      <c r="AC20" s="154">
        <v>563</v>
      </c>
      <c r="AD20" s="517"/>
      <c r="AE20" s="518"/>
      <c r="AF20" s="153"/>
      <c r="AG20" s="155"/>
      <c r="AH20" s="153"/>
      <c r="AI20" s="155"/>
      <c r="AJ20" s="153"/>
      <c r="AK20" s="155"/>
      <c r="AL20" s="128"/>
      <c r="AM20" s="140"/>
      <c r="AN20" s="244">
        <v>73</v>
      </c>
      <c r="AO20" s="202">
        <v>134</v>
      </c>
      <c r="AP20" s="145"/>
      <c r="AQ20" s="158"/>
      <c r="AR20" s="146"/>
      <c r="AS20" s="159"/>
      <c r="AT20" s="149"/>
      <c r="AU20" s="154"/>
      <c r="AV20" s="160">
        <f t="shared" si="9"/>
        <v>289</v>
      </c>
      <c r="AW20" s="160">
        <f t="shared" si="10"/>
        <v>717</v>
      </c>
      <c r="AX20" s="149"/>
      <c r="AY20" s="155"/>
      <c r="AZ20" s="149">
        <f t="shared" si="1"/>
        <v>289</v>
      </c>
      <c r="BA20" s="162">
        <f t="shared" si="2"/>
        <v>717</v>
      </c>
    </row>
    <row r="21" spans="1:53" s="186" customFormat="1" ht="14.25">
      <c r="A21" s="838" t="s">
        <v>17</v>
      </c>
      <c r="B21" s="836"/>
      <c r="C21" s="510"/>
      <c r="D21" s="128"/>
      <c r="E21" s="129"/>
      <c r="F21" s="128">
        <v>30</v>
      </c>
      <c r="G21" s="140">
        <v>4745</v>
      </c>
      <c r="H21" s="128"/>
      <c r="I21" s="140"/>
      <c r="J21" s="128"/>
      <c r="K21" s="140"/>
      <c r="L21" s="128"/>
      <c r="M21" s="129"/>
      <c r="N21" s="128"/>
      <c r="O21" s="129"/>
      <c r="P21" s="128"/>
      <c r="Q21" s="140"/>
      <c r="R21" s="128"/>
      <c r="S21" s="129">
        <v>2456</v>
      </c>
      <c r="T21" s="128"/>
      <c r="U21" s="129"/>
      <c r="V21" s="128">
        <v>11</v>
      </c>
      <c r="W21" s="129">
        <v>3148</v>
      </c>
      <c r="X21" s="128"/>
      <c r="Y21" s="129">
        <v>1053</v>
      </c>
      <c r="Z21" s="143"/>
      <c r="AA21" s="511"/>
      <c r="AB21" s="128"/>
      <c r="AC21" s="129"/>
      <c r="AD21" s="128"/>
      <c r="AE21" s="140"/>
      <c r="AF21" s="128"/>
      <c r="AG21" s="140"/>
      <c r="AH21" s="128"/>
      <c r="AI21" s="140"/>
      <c r="AJ21" s="128"/>
      <c r="AK21" s="140"/>
      <c r="AL21" s="128"/>
      <c r="AM21" s="140"/>
      <c r="AN21" s="244"/>
      <c r="AO21" s="202">
        <v>68</v>
      </c>
      <c r="AP21" s="145"/>
      <c r="AQ21" s="158"/>
      <c r="AR21" s="146"/>
      <c r="AS21" s="159"/>
      <c r="AT21" s="127"/>
      <c r="AU21" s="129"/>
      <c r="AV21" s="160">
        <f t="shared" si="9"/>
        <v>41</v>
      </c>
      <c r="AW21" s="160">
        <f t="shared" si="10"/>
        <v>11470</v>
      </c>
      <c r="AX21" s="146"/>
      <c r="AY21" s="159">
        <v>718</v>
      </c>
      <c r="AZ21" s="149">
        <f t="shared" si="1"/>
        <v>41</v>
      </c>
      <c r="BA21" s="162">
        <f t="shared" si="2"/>
        <v>12188</v>
      </c>
    </row>
    <row r="22" spans="1:53" s="186" customFormat="1" ht="14.25">
      <c r="A22" s="838" t="s">
        <v>73</v>
      </c>
      <c r="B22" s="836"/>
      <c r="C22" s="510"/>
      <c r="D22" s="128"/>
      <c r="E22" s="129"/>
      <c r="F22" s="128"/>
      <c r="G22" s="140"/>
      <c r="H22" s="128"/>
      <c r="I22" s="140"/>
      <c r="J22" s="128"/>
      <c r="K22" s="140"/>
      <c r="L22" s="128"/>
      <c r="M22" s="129"/>
      <c r="N22" s="128"/>
      <c r="O22" s="129"/>
      <c r="P22" s="128"/>
      <c r="Q22" s="140"/>
      <c r="R22" s="128"/>
      <c r="S22" s="129"/>
      <c r="T22" s="128"/>
      <c r="U22" s="129"/>
      <c r="V22" s="128"/>
      <c r="W22" s="129"/>
      <c r="X22" s="128"/>
      <c r="Y22" s="129">
        <v>65</v>
      </c>
      <c r="Z22" s="143"/>
      <c r="AA22" s="511"/>
      <c r="AB22" s="128"/>
      <c r="AC22" s="129"/>
      <c r="AD22" s="128"/>
      <c r="AE22" s="140"/>
      <c r="AF22" s="128"/>
      <c r="AG22" s="140"/>
      <c r="AH22" s="128"/>
      <c r="AI22" s="140"/>
      <c r="AJ22" s="128"/>
      <c r="AK22" s="140"/>
      <c r="AL22" s="128"/>
      <c r="AM22" s="140"/>
      <c r="AN22" s="244"/>
      <c r="AO22" s="202"/>
      <c r="AP22" s="145"/>
      <c r="AQ22" s="158"/>
      <c r="AR22" s="146"/>
      <c r="AS22" s="159"/>
      <c r="AT22" s="127"/>
      <c r="AU22" s="129"/>
      <c r="AV22" s="160">
        <f t="shared" si="9"/>
        <v>0</v>
      </c>
      <c r="AW22" s="160">
        <f t="shared" si="10"/>
        <v>65</v>
      </c>
      <c r="AX22" s="146"/>
      <c r="AY22" s="159"/>
      <c r="AZ22" s="149">
        <f t="shared" si="1"/>
        <v>0</v>
      </c>
      <c r="BA22" s="162">
        <f t="shared" si="2"/>
        <v>65</v>
      </c>
    </row>
    <row r="23" spans="1:53" s="186" customFormat="1" ht="14.25">
      <c r="A23" s="838" t="s">
        <v>74</v>
      </c>
      <c r="B23" s="520">
        <v>-30</v>
      </c>
      <c r="C23" s="521"/>
      <c r="D23" s="170"/>
      <c r="E23" s="168">
        <v>11</v>
      </c>
      <c r="F23" s="170">
        <v>-62</v>
      </c>
      <c r="G23" s="173">
        <v>-3</v>
      </c>
      <c r="H23" s="170"/>
      <c r="I23" s="173"/>
      <c r="J23" s="170"/>
      <c r="K23" s="173"/>
      <c r="L23" s="170"/>
      <c r="M23" s="168"/>
      <c r="N23" s="170">
        <v>860</v>
      </c>
      <c r="O23" s="129">
        <v>2267</v>
      </c>
      <c r="P23" s="170"/>
      <c r="Q23" s="173"/>
      <c r="R23" s="170">
        <v>3125</v>
      </c>
      <c r="S23" s="168">
        <v>27219</v>
      </c>
      <c r="T23" s="170"/>
      <c r="U23" s="168">
        <v>28</v>
      </c>
      <c r="V23" s="170"/>
      <c r="W23" s="168"/>
      <c r="X23" s="170"/>
      <c r="Y23" s="168"/>
      <c r="Z23" s="522"/>
      <c r="AA23" s="523"/>
      <c r="AB23" s="170"/>
      <c r="AC23" s="168"/>
      <c r="AD23" s="170"/>
      <c r="AE23" s="173">
        <v>-8</v>
      </c>
      <c r="AF23" s="170">
        <v>-12</v>
      </c>
      <c r="AG23" s="173"/>
      <c r="AH23" s="170">
        <v>-730</v>
      </c>
      <c r="AI23" s="173">
        <v>-226</v>
      </c>
      <c r="AJ23" s="170"/>
      <c r="AK23" s="173"/>
      <c r="AL23" s="170"/>
      <c r="AM23" s="173"/>
      <c r="AN23" s="524"/>
      <c r="AO23" s="525"/>
      <c r="AP23" s="174"/>
      <c r="AQ23" s="175"/>
      <c r="AR23" s="176"/>
      <c r="AS23" s="177"/>
      <c r="AT23" s="172"/>
      <c r="AU23" s="168"/>
      <c r="AV23" s="160">
        <f t="shared" si="9"/>
        <v>3151</v>
      </c>
      <c r="AW23" s="160">
        <f t="shared" si="10"/>
        <v>29288</v>
      </c>
      <c r="AX23" s="176"/>
      <c r="AY23" s="177"/>
      <c r="AZ23" s="149">
        <f t="shared" si="1"/>
        <v>3151</v>
      </c>
      <c r="BA23" s="162">
        <f t="shared" si="2"/>
        <v>29288</v>
      </c>
    </row>
    <row r="24" spans="1:53" s="186" customFormat="1" ht="15" thickBot="1">
      <c r="A24" s="840" t="s">
        <v>75</v>
      </c>
      <c r="B24" s="520"/>
      <c r="C24" s="526"/>
      <c r="D24" s="169"/>
      <c r="E24" s="527"/>
      <c r="F24" s="169"/>
      <c r="G24" s="528"/>
      <c r="H24" s="169"/>
      <c r="I24" s="528"/>
      <c r="J24" s="170"/>
      <c r="K24" s="173"/>
      <c r="L24" s="170"/>
      <c r="M24" s="168"/>
      <c r="N24" s="170"/>
      <c r="O24" s="168"/>
      <c r="P24" s="170"/>
      <c r="Q24" s="173"/>
      <c r="R24" s="170"/>
      <c r="S24" s="168"/>
      <c r="T24" s="170"/>
      <c r="U24" s="168"/>
      <c r="V24" s="170"/>
      <c r="W24" s="168"/>
      <c r="X24" s="170"/>
      <c r="Y24" s="168"/>
      <c r="Z24" s="522"/>
      <c r="AA24" s="523"/>
      <c r="AB24" s="170"/>
      <c r="AC24" s="168"/>
      <c r="AD24" s="170"/>
      <c r="AE24" s="173"/>
      <c r="AF24" s="170"/>
      <c r="AG24" s="173"/>
      <c r="AH24" s="170">
        <v>9478</v>
      </c>
      <c r="AI24" s="173">
        <v>-9480</v>
      </c>
      <c r="AJ24" s="170"/>
      <c r="AK24" s="173"/>
      <c r="AL24" s="170"/>
      <c r="AM24" s="173"/>
      <c r="AN24" s="524"/>
      <c r="AO24" s="525"/>
      <c r="AP24" s="174"/>
      <c r="AQ24" s="175"/>
      <c r="AR24" s="176"/>
      <c r="AS24" s="177"/>
      <c r="AT24" s="172"/>
      <c r="AU24" s="168"/>
      <c r="AV24" s="160">
        <f t="shared" si="9"/>
        <v>9478</v>
      </c>
      <c r="AW24" s="160">
        <f t="shared" si="10"/>
        <v>-9480</v>
      </c>
      <c r="AX24" s="176"/>
      <c r="AY24" s="177"/>
      <c r="AZ24" s="832">
        <f t="shared" si="1"/>
        <v>9478</v>
      </c>
      <c r="BA24" s="178">
        <f t="shared" si="2"/>
        <v>-9480</v>
      </c>
    </row>
    <row r="25" spans="1:53" s="529" customFormat="1" ht="15" thickBot="1">
      <c r="A25" s="841" t="s">
        <v>54</v>
      </c>
      <c r="B25" s="837">
        <f aca="true" t="shared" si="11" ref="B25:H25">SUM(B15:B23)</f>
        <v>2180609</v>
      </c>
      <c r="C25" s="531">
        <f t="shared" si="11"/>
        <v>2550599</v>
      </c>
      <c r="D25" s="530">
        <f t="shared" si="11"/>
        <v>189802</v>
      </c>
      <c r="E25" s="532">
        <f t="shared" si="11"/>
        <v>57553</v>
      </c>
      <c r="F25" s="530">
        <f t="shared" si="11"/>
        <v>420498</v>
      </c>
      <c r="G25" s="531">
        <f t="shared" si="11"/>
        <v>352799</v>
      </c>
      <c r="H25" s="530">
        <f t="shared" si="11"/>
        <v>1588336</v>
      </c>
      <c r="I25" s="531">
        <f>SUM(I15:I24)</f>
        <v>1471488</v>
      </c>
      <c r="J25" s="530">
        <f aca="true" t="shared" si="12" ref="J25:AY25">SUM(J15:J24)</f>
        <v>832480</v>
      </c>
      <c r="K25" s="531">
        <f t="shared" si="12"/>
        <v>1002809</v>
      </c>
      <c r="L25" s="531">
        <f t="shared" si="12"/>
        <v>547163</v>
      </c>
      <c r="M25" s="531">
        <f t="shared" si="12"/>
        <v>687199</v>
      </c>
      <c r="N25" s="531">
        <f t="shared" si="12"/>
        <v>246056</v>
      </c>
      <c r="O25" s="531">
        <f t="shared" si="12"/>
        <v>259997</v>
      </c>
      <c r="P25" s="531">
        <f t="shared" si="12"/>
        <v>265426</v>
      </c>
      <c r="Q25" s="531">
        <f t="shared" si="12"/>
        <v>288866</v>
      </c>
      <c r="R25" s="531">
        <f t="shared" si="12"/>
        <v>1370615</v>
      </c>
      <c r="S25" s="531">
        <f t="shared" si="12"/>
        <v>1636180</v>
      </c>
      <c r="T25" s="531">
        <f t="shared" si="12"/>
        <v>263781</v>
      </c>
      <c r="U25" s="531">
        <f t="shared" si="12"/>
        <v>342151</v>
      </c>
      <c r="V25" s="531">
        <f t="shared" si="12"/>
        <v>7018436</v>
      </c>
      <c r="W25" s="531">
        <f t="shared" si="12"/>
        <v>7920249</v>
      </c>
      <c r="X25" s="531">
        <f t="shared" si="12"/>
        <v>6199768</v>
      </c>
      <c r="Y25" s="531">
        <f t="shared" si="12"/>
        <v>7589159</v>
      </c>
      <c r="Z25" s="531">
        <f t="shared" si="12"/>
        <v>888561</v>
      </c>
      <c r="AA25" s="531">
        <f t="shared" si="12"/>
        <v>1003862</v>
      </c>
      <c r="AB25" s="531">
        <f t="shared" si="12"/>
        <v>398140</v>
      </c>
      <c r="AC25" s="531">
        <f t="shared" si="12"/>
        <v>690661</v>
      </c>
      <c r="AD25" s="531">
        <f t="shared" si="12"/>
        <v>3248144</v>
      </c>
      <c r="AE25" s="531">
        <f t="shared" si="12"/>
        <v>2581148</v>
      </c>
      <c r="AF25" s="531">
        <f t="shared" si="12"/>
        <v>8210125</v>
      </c>
      <c r="AG25" s="531">
        <f t="shared" si="12"/>
        <v>9364275</v>
      </c>
      <c r="AH25" s="531">
        <f t="shared" si="12"/>
        <v>1614626</v>
      </c>
      <c r="AI25" s="531">
        <f t="shared" si="12"/>
        <v>1796521</v>
      </c>
      <c r="AJ25" s="531">
        <f t="shared" si="12"/>
        <v>2458779</v>
      </c>
      <c r="AK25" s="531">
        <f t="shared" si="12"/>
        <v>1954104</v>
      </c>
      <c r="AL25" s="531">
        <f t="shared" si="12"/>
        <v>80599</v>
      </c>
      <c r="AM25" s="531">
        <f t="shared" si="12"/>
        <v>78265</v>
      </c>
      <c r="AN25" s="531">
        <f t="shared" si="12"/>
        <v>7142576</v>
      </c>
      <c r="AO25" s="531">
        <f t="shared" si="12"/>
        <v>7833424</v>
      </c>
      <c r="AP25" s="531">
        <f t="shared" si="12"/>
        <v>604840</v>
      </c>
      <c r="AQ25" s="531">
        <f t="shared" si="12"/>
        <v>702274</v>
      </c>
      <c r="AR25" s="531">
        <f t="shared" si="12"/>
        <v>1046700</v>
      </c>
      <c r="AS25" s="531">
        <f t="shared" si="12"/>
        <v>1369633</v>
      </c>
      <c r="AT25" s="531">
        <f t="shared" si="12"/>
        <v>1514524</v>
      </c>
      <c r="AU25" s="532">
        <f t="shared" si="12"/>
        <v>2651701</v>
      </c>
      <c r="AV25" s="767">
        <f t="shared" si="12"/>
        <v>48330584</v>
      </c>
      <c r="AW25" s="531">
        <f t="shared" si="12"/>
        <v>54184917</v>
      </c>
      <c r="AX25" s="531">
        <f t="shared" si="12"/>
        <v>155003224</v>
      </c>
      <c r="AY25" s="531">
        <f t="shared" si="12"/>
        <v>166319472</v>
      </c>
      <c r="AZ25" s="833">
        <f t="shared" si="1"/>
        <v>203333808</v>
      </c>
      <c r="BA25" s="834">
        <f t="shared" si="2"/>
        <v>220504389</v>
      </c>
    </row>
  </sheetData>
  <sheetProtection/>
  <mergeCells count="29">
    <mergeCell ref="AN3:AO3"/>
    <mergeCell ref="AB3:AC3"/>
    <mergeCell ref="A1:AY1"/>
    <mergeCell ref="A2:AY2"/>
    <mergeCell ref="A3:A4"/>
    <mergeCell ref="AZ3:BA3"/>
    <mergeCell ref="AX3:AY3"/>
    <mergeCell ref="AV3:AW3"/>
    <mergeCell ref="AT3:AU3"/>
    <mergeCell ref="AR3:AS3"/>
    <mergeCell ref="AP3:AQ3"/>
    <mergeCell ref="B3:C3"/>
    <mergeCell ref="P3:Q3"/>
    <mergeCell ref="N3:O3"/>
    <mergeCell ref="L3:M3"/>
    <mergeCell ref="J3:K3"/>
    <mergeCell ref="AL3:AM3"/>
    <mergeCell ref="AJ3:AK3"/>
    <mergeCell ref="AH3:AI3"/>
    <mergeCell ref="AF3:AG3"/>
    <mergeCell ref="AD3:AE3"/>
    <mergeCell ref="H3:I3"/>
    <mergeCell ref="F3:G3"/>
    <mergeCell ref="D3:E3"/>
    <mergeCell ref="Z3:AA3"/>
    <mergeCell ref="X3:Y3"/>
    <mergeCell ref="V3:W3"/>
    <mergeCell ref="T3:U3"/>
    <mergeCell ref="R3:S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G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17" sqref="G17"/>
    </sheetView>
  </sheetViews>
  <sheetFormatPr defaultColWidth="9.140625" defaultRowHeight="15"/>
  <cols>
    <col min="1" max="1" width="37.28125" style="189" bestFit="1" customWidth="1"/>
    <col min="2" max="2" width="12.57421875" style="0" bestFit="1" customWidth="1"/>
    <col min="3" max="3" width="14.7109375" style="0" customWidth="1"/>
    <col min="4" max="4" width="12.57421875" style="0" bestFit="1" customWidth="1"/>
    <col min="5" max="5" width="12.57421875" style="187" bestFit="1" customWidth="1"/>
    <col min="6" max="8" width="12.57421875" style="0" bestFit="1" customWidth="1"/>
    <col min="9" max="9" width="13.421875" style="0" bestFit="1" customWidth="1"/>
    <col min="10" max="14" width="12.57421875" style="0" bestFit="1" customWidth="1"/>
    <col min="15" max="15" width="12.8515625" style="0" customWidth="1"/>
    <col min="16" max="18" width="12.57421875" style="0" bestFit="1" customWidth="1"/>
    <col min="19" max="19" width="13.421875" style="0" bestFit="1" customWidth="1"/>
    <col min="20" max="21" width="12.57421875" style="0" bestFit="1" customWidth="1"/>
    <col min="22" max="22" width="12.57421875" style="187" bestFit="1" customWidth="1"/>
    <col min="23" max="23" width="13.421875" style="187" bestFit="1" customWidth="1"/>
    <col min="24" max="24" width="12.7109375" style="0" bestFit="1" customWidth="1"/>
    <col min="25" max="25" width="13.421875" style="0" bestFit="1" customWidth="1"/>
    <col min="26" max="26" width="12.57421875" style="0" bestFit="1" customWidth="1"/>
    <col min="27" max="27" width="13.421875" style="0" bestFit="1" customWidth="1"/>
    <col min="28" max="28" width="12.57421875" style="0" bestFit="1" customWidth="1"/>
    <col min="29" max="29" width="13.421875" style="0" bestFit="1" customWidth="1"/>
    <col min="30" max="30" width="12.57421875" style="0" bestFit="1" customWidth="1"/>
    <col min="31" max="31" width="13.421875" style="0" bestFit="1" customWidth="1"/>
    <col min="32" max="32" width="12.8515625" style="0" customWidth="1"/>
    <col min="33" max="33" width="13.421875" style="0" bestFit="1" customWidth="1"/>
    <col min="34" max="34" width="13.140625" style="0" customWidth="1"/>
    <col min="35" max="35" width="13.7109375" style="0" customWidth="1"/>
    <col min="36" max="36" width="12.57421875" style="0" bestFit="1" customWidth="1"/>
    <col min="37" max="37" width="13.421875" style="0" bestFit="1" customWidth="1"/>
    <col min="38" max="38" width="12.57421875" style="0" bestFit="1" customWidth="1"/>
    <col min="39" max="39" width="13.421875" style="0" bestFit="1" customWidth="1"/>
    <col min="40" max="40" width="13.00390625" style="0" customWidth="1"/>
    <col min="41" max="41" width="12.57421875" style="0" bestFit="1" customWidth="1"/>
    <col min="42" max="42" width="12.57421875" style="187" bestFit="1" customWidth="1"/>
    <col min="43" max="43" width="13.421875" style="187" bestFit="1" customWidth="1"/>
    <col min="44" max="44" width="12.57421875" style="187" bestFit="1" customWidth="1"/>
    <col min="45" max="45" width="13.421875" style="187" bestFit="1" customWidth="1"/>
    <col min="46" max="47" width="12.57421875" style="187" bestFit="1" customWidth="1"/>
    <col min="48" max="50" width="12.57421875" style="188" bestFit="1" customWidth="1"/>
    <col min="51" max="51" width="13.421875" style="188" bestFit="1" customWidth="1"/>
    <col min="52" max="52" width="12.57421875" style="188" bestFit="1" customWidth="1"/>
    <col min="53" max="53" width="13.421875" style="188" bestFit="1" customWidth="1"/>
    <col min="57" max="57" width="11.421875" style="0" customWidth="1"/>
    <col min="58" max="58" width="13.00390625" style="0" customWidth="1"/>
    <col min="59" max="59" width="11.57421875" style="0" customWidth="1"/>
  </cols>
  <sheetData>
    <row r="1" spans="1:53" s="115" customFormat="1" ht="14.25" customHeight="1">
      <c r="A1" s="1007" t="s">
        <v>114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1007"/>
      <c r="S1" s="1007"/>
      <c r="T1" s="1007"/>
      <c r="U1" s="1007"/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1007"/>
      <c r="AO1" s="1007"/>
      <c r="AP1" s="1007"/>
      <c r="AQ1" s="1007"/>
      <c r="AR1" s="1007"/>
      <c r="AS1" s="1007"/>
      <c r="AT1" s="1007"/>
      <c r="AU1" s="1007"/>
      <c r="AV1" s="1007"/>
      <c r="AW1" s="1007"/>
      <c r="AX1" s="1007"/>
      <c r="AY1" s="1007"/>
      <c r="AZ1" s="156"/>
      <c r="BA1" s="156"/>
    </row>
    <row r="2" spans="1:53" s="115" customFormat="1" ht="14.25" customHeight="1" thickBot="1">
      <c r="A2" s="1063" t="s">
        <v>59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1063"/>
      <c r="X2" s="1063"/>
      <c r="Y2" s="1063"/>
      <c r="Z2" s="1063"/>
      <c r="AA2" s="1063"/>
      <c r="AB2" s="1063"/>
      <c r="AC2" s="1063"/>
      <c r="AD2" s="1063"/>
      <c r="AE2" s="1063"/>
      <c r="AF2" s="1063"/>
      <c r="AG2" s="1063"/>
      <c r="AH2" s="1063"/>
      <c r="AI2" s="1063"/>
      <c r="AJ2" s="1063"/>
      <c r="AK2" s="1063"/>
      <c r="AL2" s="1063"/>
      <c r="AM2" s="1063"/>
      <c r="AN2" s="1063"/>
      <c r="AO2" s="1063"/>
      <c r="AP2" s="1063"/>
      <c r="AQ2" s="1063"/>
      <c r="AR2" s="1063"/>
      <c r="AS2" s="1063"/>
      <c r="AT2" s="1063"/>
      <c r="AU2" s="1063"/>
      <c r="AV2" s="1063"/>
      <c r="AW2" s="1063"/>
      <c r="AX2" s="1063"/>
      <c r="AY2" s="1063"/>
      <c r="AZ2" s="156"/>
      <c r="BA2" s="156"/>
    </row>
    <row r="3" spans="1:53" s="823" customFormat="1" ht="65.25" customHeight="1" thickBot="1">
      <c r="A3" s="1064" t="s">
        <v>0</v>
      </c>
      <c r="B3" s="1042" t="s">
        <v>117</v>
      </c>
      <c r="C3" s="1043"/>
      <c r="D3" s="1053" t="s">
        <v>118</v>
      </c>
      <c r="E3" s="1054"/>
      <c r="F3" s="1053" t="s">
        <v>119</v>
      </c>
      <c r="G3" s="1054"/>
      <c r="H3" s="1053" t="s">
        <v>120</v>
      </c>
      <c r="I3" s="1054"/>
      <c r="J3" s="1053" t="s">
        <v>121</v>
      </c>
      <c r="K3" s="1054"/>
      <c r="L3" s="1053" t="s">
        <v>122</v>
      </c>
      <c r="M3" s="1054"/>
      <c r="N3" s="1053" t="s">
        <v>123</v>
      </c>
      <c r="O3" s="1054"/>
      <c r="P3" s="1053" t="s">
        <v>124</v>
      </c>
      <c r="Q3" s="1054"/>
      <c r="R3" s="1055" t="s">
        <v>125</v>
      </c>
      <c r="S3" s="1054"/>
      <c r="T3" s="1055" t="s">
        <v>126</v>
      </c>
      <c r="U3" s="1054"/>
      <c r="V3" s="1056" t="s">
        <v>127</v>
      </c>
      <c r="W3" s="1057"/>
      <c r="X3" s="1053" t="s">
        <v>128</v>
      </c>
      <c r="Y3" s="1054"/>
      <c r="Z3" s="1053" t="s">
        <v>129</v>
      </c>
      <c r="AA3" s="1054"/>
      <c r="AB3" s="1053" t="s">
        <v>130</v>
      </c>
      <c r="AC3" s="1054"/>
      <c r="AD3" s="1066" t="s">
        <v>131</v>
      </c>
      <c r="AE3" s="1062"/>
      <c r="AF3" s="1053" t="s">
        <v>132</v>
      </c>
      <c r="AG3" s="1054"/>
      <c r="AH3" s="1053" t="s">
        <v>133</v>
      </c>
      <c r="AI3" s="1054"/>
      <c r="AJ3" s="1055" t="s">
        <v>134</v>
      </c>
      <c r="AK3" s="1054"/>
      <c r="AL3" s="1061" t="s">
        <v>135</v>
      </c>
      <c r="AM3" s="1062"/>
      <c r="AN3" s="1055" t="s">
        <v>136</v>
      </c>
      <c r="AO3" s="1054"/>
      <c r="AP3" s="1056" t="s">
        <v>137</v>
      </c>
      <c r="AQ3" s="1057"/>
      <c r="AR3" s="1056" t="s">
        <v>138</v>
      </c>
      <c r="AS3" s="1057"/>
      <c r="AT3" s="1056" t="s">
        <v>139</v>
      </c>
      <c r="AU3" s="1057"/>
      <c r="AV3" s="1056" t="s">
        <v>1</v>
      </c>
      <c r="AW3" s="1057"/>
      <c r="AX3" s="1060" t="s">
        <v>140</v>
      </c>
      <c r="AY3" s="1059"/>
      <c r="AZ3" s="1058" t="s">
        <v>2</v>
      </c>
      <c r="BA3" s="1059"/>
    </row>
    <row r="4" spans="1:53" s="500" customFormat="1" ht="15" customHeight="1" thickBot="1">
      <c r="A4" s="1065"/>
      <c r="B4" s="533" t="s">
        <v>246</v>
      </c>
      <c r="C4" s="536" t="s">
        <v>247</v>
      </c>
      <c r="D4" s="536" t="s">
        <v>246</v>
      </c>
      <c r="E4" s="536" t="s">
        <v>247</v>
      </c>
      <c r="F4" s="536" t="s">
        <v>246</v>
      </c>
      <c r="G4" s="536" t="s">
        <v>247</v>
      </c>
      <c r="H4" s="536" t="s">
        <v>246</v>
      </c>
      <c r="I4" s="536" t="s">
        <v>247</v>
      </c>
      <c r="J4" s="536" t="s">
        <v>246</v>
      </c>
      <c r="K4" s="536" t="s">
        <v>247</v>
      </c>
      <c r="L4" s="536" t="s">
        <v>246</v>
      </c>
      <c r="M4" s="536" t="s">
        <v>247</v>
      </c>
      <c r="N4" s="536" t="s">
        <v>246</v>
      </c>
      <c r="O4" s="536" t="s">
        <v>247</v>
      </c>
      <c r="P4" s="536" t="s">
        <v>246</v>
      </c>
      <c r="Q4" s="536" t="s">
        <v>247</v>
      </c>
      <c r="R4" s="536" t="s">
        <v>246</v>
      </c>
      <c r="S4" s="536" t="s">
        <v>247</v>
      </c>
      <c r="T4" s="536" t="s">
        <v>246</v>
      </c>
      <c r="U4" s="536" t="s">
        <v>247</v>
      </c>
      <c r="V4" s="536" t="s">
        <v>246</v>
      </c>
      <c r="W4" s="536" t="s">
        <v>247</v>
      </c>
      <c r="X4" s="536" t="s">
        <v>246</v>
      </c>
      <c r="Y4" s="536" t="s">
        <v>247</v>
      </c>
      <c r="Z4" s="536" t="s">
        <v>246</v>
      </c>
      <c r="AA4" s="536" t="s">
        <v>247</v>
      </c>
      <c r="AB4" s="536" t="s">
        <v>246</v>
      </c>
      <c r="AC4" s="536" t="s">
        <v>247</v>
      </c>
      <c r="AD4" s="536" t="s">
        <v>246</v>
      </c>
      <c r="AE4" s="536" t="s">
        <v>247</v>
      </c>
      <c r="AF4" s="536" t="s">
        <v>246</v>
      </c>
      <c r="AG4" s="536" t="s">
        <v>247</v>
      </c>
      <c r="AH4" s="536" t="s">
        <v>246</v>
      </c>
      <c r="AI4" s="536" t="s">
        <v>247</v>
      </c>
      <c r="AJ4" s="536" t="s">
        <v>246</v>
      </c>
      <c r="AK4" s="536" t="s">
        <v>247</v>
      </c>
      <c r="AL4" s="536" t="s">
        <v>246</v>
      </c>
      <c r="AM4" s="536" t="s">
        <v>247</v>
      </c>
      <c r="AN4" s="536" t="s">
        <v>246</v>
      </c>
      <c r="AO4" s="536" t="s">
        <v>247</v>
      </c>
      <c r="AP4" s="536" t="s">
        <v>246</v>
      </c>
      <c r="AQ4" s="536" t="s">
        <v>247</v>
      </c>
      <c r="AR4" s="536" t="s">
        <v>246</v>
      </c>
      <c r="AS4" s="536" t="s">
        <v>247</v>
      </c>
      <c r="AT4" s="536" t="s">
        <v>246</v>
      </c>
      <c r="AU4" s="536" t="s">
        <v>247</v>
      </c>
      <c r="AV4" s="536" t="s">
        <v>246</v>
      </c>
      <c r="AW4" s="536" t="s">
        <v>247</v>
      </c>
      <c r="AX4" s="536" t="s">
        <v>246</v>
      </c>
      <c r="AY4" s="536" t="s">
        <v>247</v>
      </c>
      <c r="AZ4" s="536" t="s">
        <v>246</v>
      </c>
      <c r="BA4" s="536" t="s">
        <v>247</v>
      </c>
    </row>
    <row r="5" spans="1:53" s="120" customFormat="1" ht="15" customHeight="1" thickBot="1">
      <c r="A5" s="456" t="s">
        <v>30</v>
      </c>
      <c r="B5" s="190"/>
      <c r="C5" s="192"/>
      <c r="D5" s="191"/>
      <c r="E5" s="193"/>
      <c r="F5" s="195"/>
      <c r="G5" s="193"/>
      <c r="H5" s="195"/>
      <c r="I5" s="193"/>
      <c r="J5" s="194"/>
      <c r="K5" s="193"/>
      <c r="L5" s="194"/>
      <c r="M5" s="193"/>
      <c r="N5" s="195"/>
      <c r="O5" s="193"/>
      <c r="P5" s="191"/>
      <c r="Q5" s="192"/>
      <c r="R5" s="191"/>
      <c r="S5" s="192"/>
      <c r="T5" s="191"/>
      <c r="U5" s="192"/>
      <c r="V5" s="194"/>
      <c r="W5" s="193"/>
      <c r="X5" s="890"/>
      <c r="Y5" s="192"/>
      <c r="Z5" s="890"/>
      <c r="AA5" s="192"/>
      <c r="AB5" s="890"/>
      <c r="AC5" s="192"/>
      <c r="AD5" s="890"/>
      <c r="AE5" s="192"/>
      <c r="AF5" s="890"/>
      <c r="AG5" s="192"/>
      <c r="AH5" s="890"/>
      <c r="AI5" s="192"/>
      <c r="AJ5" s="190"/>
      <c r="AK5" s="192"/>
      <c r="AL5" s="774"/>
      <c r="AM5" s="243"/>
      <c r="AN5" s="773"/>
      <c r="AO5" s="902"/>
      <c r="AP5" s="194"/>
      <c r="AQ5" s="193"/>
      <c r="AR5" s="194"/>
      <c r="AS5" s="193"/>
      <c r="AT5" s="194"/>
      <c r="AU5" s="193"/>
      <c r="AV5" s="194"/>
      <c r="AW5" s="193"/>
      <c r="AX5" s="194"/>
      <c r="AY5" s="193"/>
      <c r="AZ5" s="199"/>
      <c r="BA5" s="200"/>
    </row>
    <row r="6" spans="1:53" s="120" customFormat="1" ht="14.25">
      <c r="A6" s="455" t="s">
        <v>31</v>
      </c>
      <c r="B6" s="780">
        <v>3290891</v>
      </c>
      <c r="C6" s="122">
        <v>3899607</v>
      </c>
      <c r="D6" s="124">
        <v>405289</v>
      </c>
      <c r="E6" s="129">
        <v>537539</v>
      </c>
      <c r="F6" s="128">
        <v>1080050</v>
      </c>
      <c r="G6" s="129">
        <v>881064</v>
      </c>
      <c r="H6" s="128">
        <v>8313337</v>
      </c>
      <c r="I6" s="129">
        <v>9804032</v>
      </c>
      <c r="J6" s="157">
        <v>715348</v>
      </c>
      <c r="K6" s="129">
        <v>573277</v>
      </c>
      <c r="L6" s="157">
        <v>331961</v>
      </c>
      <c r="M6" s="129">
        <v>429063</v>
      </c>
      <c r="N6" s="157">
        <v>641720</v>
      </c>
      <c r="O6" s="129">
        <v>1078391</v>
      </c>
      <c r="P6" s="124">
        <v>238984</v>
      </c>
      <c r="Q6" s="125">
        <v>398132</v>
      </c>
      <c r="R6" s="124">
        <v>719954</v>
      </c>
      <c r="S6" s="125">
        <v>1121869</v>
      </c>
      <c r="T6" s="124">
        <v>586071</v>
      </c>
      <c r="U6" s="125">
        <v>831615</v>
      </c>
      <c r="V6" s="157">
        <v>4031129</v>
      </c>
      <c r="W6" s="129">
        <v>6283078</v>
      </c>
      <c r="X6" s="891">
        <v>4792017</v>
      </c>
      <c r="Y6" s="125">
        <v>5912549</v>
      </c>
      <c r="Z6" s="894">
        <v>610844</v>
      </c>
      <c r="AA6" s="131">
        <v>746267</v>
      </c>
      <c r="AB6" s="891">
        <v>1482759</v>
      </c>
      <c r="AC6" s="125">
        <v>1841299</v>
      </c>
      <c r="AD6" s="891">
        <v>3730081</v>
      </c>
      <c r="AE6" s="125">
        <v>4577589</v>
      </c>
      <c r="AF6" s="891">
        <v>3341165</v>
      </c>
      <c r="AG6" s="119">
        <v>4121432</v>
      </c>
      <c r="AH6" s="891">
        <v>2665778</v>
      </c>
      <c r="AI6" s="125">
        <v>3475258</v>
      </c>
      <c r="AJ6" s="123">
        <v>2486267</v>
      </c>
      <c r="AK6" s="125">
        <v>2303444</v>
      </c>
      <c r="AL6" s="123">
        <v>74235</v>
      </c>
      <c r="AM6" s="125">
        <v>62041</v>
      </c>
      <c r="AN6" s="245">
        <v>8986125</v>
      </c>
      <c r="AO6" s="903">
        <v>10995318</v>
      </c>
      <c r="AP6" s="900">
        <v>1391234</v>
      </c>
      <c r="AQ6" s="906">
        <v>2342183</v>
      </c>
      <c r="AR6" s="770">
        <v>1267202</v>
      </c>
      <c r="AS6" s="148">
        <v>1380724</v>
      </c>
      <c r="AT6" s="157">
        <v>1388108</v>
      </c>
      <c r="AU6" s="129">
        <v>1459315</v>
      </c>
      <c r="AV6" s="160">
        <f>SUM(B6+D6+F6+H6+J6+L6+N6+P6+R6+T6+V6+X6+Z6+AB6+AD6+AF6+AH6+AJ6+AL6+AN6+AP6+AR6+AT6)</f>
        <v>52570549</v>
      </c>
      <c r="AW6" s="162">
        <f>SUM(C6+E6+G6+I6+K6+M6+O6+Q6+S6+U6+W6+Y6+AA6+AC6+AE6+AG6+AI6+AK6+AM6+AO6+AQ6+AS6+AU6)</f>
        <v>65055086</v>
      </c>
      <c r="AX6" s="770">
        <v>120834528</v>
      </c>
      <c r="AY6" s="148">
        <v>134281696</v>
      </c>
      <c r="AZ6" s="160">
        <f aca="true" t="shared" si="0" ref="AZ6:BA9">AV6+AX6</f>
        <v>173405077</v>
      </c>
      <c r="BA6" s="162">
        <f t="shared" si="0"/>
        <v>199336782</v>
      </c>
    </row>
    <row r="7" spans="1:53" s="120" customFormat="1" ht="14.25">
      <c r="A7" s="455" t="s">
        <v>32</v>
      </c>
      <c r="B7" s="780">
        <v>5115706</v>
      </c>
      <c r="C7" s="122">
        <v>3804462</v>
      </c>
      <c r="D7" s="124">
        <v>15154</v>
      </c>
      <c r="E7" s="129">
        <v>9772</v>
      </c>
      <c r="F7" s="128">
        <v>935024</v>
      </c>
      <c r="G7" s="129">
        <v>1796930</v>
      </c>
      <c r="H7" s="128">
        <v>4659574</v>
      </c>
      <c r="I7" s="129">
        <v>13719451</v>
      </c>
      <c r="J7" s="157">
        <v>133935</v>
      </c>
      <c r="K7" s="129">
        <v>215249</v>
      </c>
      <c r="L7" s="157">
        <v>15540</v>
      </c>
      <c r="M7" s="129">
        <v>2246</v>
      </c>
      <c r="N7" s="157">
        <v>-100</v>
      </c>
      <c r="O7" s="129"/>
      <c r="P7" s="124"/>
      <c r="Q7" s="125"/>
      <c r="R7" s="124">
        <v>2519620</v>
      </c>
      <c r="S7" s="125">
        <v>3126346</v>
      </c>
      <c r="T7" s="124">
        <v>253977</v>
      </c>
      <c r="U7" s="125">
        <v>461863</v>
      </c>
      <c r="V7" s="157">
        <v>7839757</v>
      </c>
      <c r="W7" s="129">
        <v>12293147</v>
      </c>
      <c r="X7" s="891">
        <v>4907362</v>
      </c>
      <c r="Y7" s="125">
        <v>22829989</v>
      </c>
      <c r="Z7" s="894">
        <v>107119</v>
      </c>
      <c r="AA7" s="131">
        <v>117633</v>
      </c>
      <c r="AB7" s="891">
        <v>117</v>
      </c>
      <c r="AC7" s="125">
        <v>308430</v>
      </c>
      <c r="AD7" s="891">
        <v>3380472</v>
      </c>
      <c r="AE7" s="125">
        <v>5563982</v>
      </c>
      <c r="AF7" s="891">
        <v>2128509</v>
      </c>
      <c r="AG7" s="119">
        <v>3614550</v>
      </c>
      <c r="AH7" s="891">
        <v>455448</v>
      </c>
      <c r="AI7" s="125">
        <v>890259</v>
      </c>
      <c r="AJ7" s="123">
        <v>4233698</v>
      </c>
      <c r="AK7" s="125">
        <v>2956193</v>
      </c>
      <c r="AL7" s="123">
        <v>54328</v>
      </c>
      <c r="AM7" s="125">
        <v>73028</v>
      </c>
      <c r="AN7" s="246">
        <v>20187742</v>
      </c>
      <c r="AO7" s="904">
        <v>16468248</v>
      </c>
      <c r="AP7" s="900">
        <v>112491</v>
      </c>
      <c r="AQ7" s="906">
        <v>141321</v>
      </c>
      <c r="AR7" s="770">
        <v>2400964</v>
      </c>
      <c r="AS7" s="148">
        <v>2887841</v>
      </c>
      <c r="AT7" s="157">
        <v>361526</v>
      </c>
      <c r="AU7" s="129">
        <v>513982</v>
      </c>
      <c r="AV7" s="160">
        <f aca="true" t="shared" si="1" ref="AV7:AV33">SUM(B7+D7+F7+H7+J7+L7+N7+P7+R7+T7+V7+X7+Z7+AB7+AD7+AF7+AH7+AJ7+AL7+AN7+AP7+AR7+AT7)</f>
        <v>59817963</v>
      </c>
      <c r="AW7" s="162">
        <f aca="true" t="shared" si="2" ref="AW7:AW33">SUM(C7+E7+G7+I7+K7+M7+O7+Q7+S7+U7+W7+Y7+AA7+AC7+AE7+AG7+AI7+AK7+AM7+AO7+AQ7+AS7+AU7)</f>
        <v>91794922</v>
      </c>
      <c r="AX7" s="770">
        <v>876972464</v>
      </c>
      <c r="AY7" s="148">
        <v>1013158567</v>
      </c>
      <c r="AZ7" s="160">
        <f t="shared" si="0"/>
        <v>936790427</v>
      </c>
      <c r="BA7" s="162">
        <f t="shared" si="0"/>
        <v>1104953489</v>
      </c>
    </row>
    <row r="8" spans="1:53" s="120" customFormat="1" ht="14.25">
      <c r="A8" s="455" t="s">
        <v>33</v>
      </c>
      <c r="B8" s="780">
        <v>29600</v>
      </c>
      <c r="C8" s="122">
        <v>44460</v>
      </c>
      <c r="D8" s="124"/>
      <c r="E8" s="129">
        <v>61</v>
      </c>
      <c r="F8" s="128">
        <v>2829775</v>
      </c>
      <c r="G8" s="129">
        <v>566412</v>
      </c>
      <c r="H8" s="128">
        <v>172019</v>
      </c>
      <c r="I8" s="129">
        <v>188830</v>
      </c>
      <c r="J8" s="157"/>
      <c r="K8" s="129"/>
      <c r="L8" s="157">
        <v>1536</v>
      </c>
      <c r="M8" s="129">
        <v>38026</v>
      </c>
      <c r="N8" s="128"/>
      <c r="O8" s="129"/>
      <c r="P8" s="124">
        <v>565</v>
      </c>
      <c r="Q8" s="125"/>
      <c r="R8" s="124">
        <v>15843</v>
      </c>
      <c r="S8" s="125">
        <v>17204</v>
      </c>
      <c r="T8" s="124">
        <v>2155</v>
      </c>
      <c r="U8" s="125">
        <v>2663</v>
      </c>
      <c r="V8" s="157">
        <v>450527</v>
      </c>
      <c r="W8" s="129">
        <v>640016</v>
      </c>
      <c r="X8" s="891">
        <v>1270916</v>
      </c>
      <c r="Y8" s="125">
        <v>1389762</v>
      </c>
      <c r="Z8" s="894"/>
      <c r="AA8" s="131"/>
      <c r="AB8" s="891"/>
      <c r="AC8" s="125">
        <v>54</v>
      </c>
      <c r="AD8" s="891">
        <v>13562</v>
      </c>
      <c r="AE8" s="125">
        <v>22585</v>
      </c>
      <c r="AF8" s="891">
        <v>39529</v>
      </c>
      <c r="AG8" s="119">
        <v>44505</v>
      </c>
      <c r="AH8" s="891">
        <v>181007</v>
      </c>
      <c r="AI8" s="125">
        <v>230791</v>
      </c>
      <c r="AJ8" s="123">
        <v>14799</v>
      </c>
      <c r="AK8" s="125">
        <v>15064</v>
      </c>
      <c r="AL8" s="123"/>
      <c r="AM8" s="125"/>
      <c r="AN8" s="246">
        <v>1449238</v>
      </c>
      <c r="AO8" s="904">
        <v>1537168</v>
      </c>
      <c r="AP8" s="900">
        <v>264</v>
      </c>
      <c r="AQ8" s="906">
        <v>436</v>
      </c>
      <c r="AR8" s="770">
        <v>85211</v>
      </c>
      <c r="AS8" s="148">
        <v>84309</v>
      </c>
      <c r="AT8" s="157">
        <v>24478</v>
      </c>
      <c r="AU8" s="129">
        <v>24010</v>
      </c>
      <c r="AV8" s="160">
        <f t="shared" si="1"/>
        <v>6581024</v>
      </c>
      <c r="AW8" s="162">
        <f t="shared" si="2"/>
        <v>4846356</v>
      </c>
      <c r="AX8" s="770">
        <v>55698694</v>
      </c>
      <c r="AY8" s="148">
        <v>68826935</v>
      </c>
      <c r="AZ8" s="160">
        <f t="shared" si="0"/>
        <v>62279718</v>
      </c>
      <c r="BA8" s="162">
        <f t="shared" si="0"/>
        <v>73673291</v>
      </c>
    </row>
    <row r="9" spans="1:53" s="120" customFormat="1" ht="14.25">
      <c r="A9" s="455" t="s">
        <v>34</v>
      </c>
      <c r="B9" s="780"/>
      <c r="C9" s="122"/>
      <c r="D9" s="124"/>
      <c r="E9" s="129"/>
      <c r="F9" s="128"/>
      <c r="G9" s="129"/>
      <c r="H9" s="128"/>
      <c r="I9" s="129"/>
      <c r="J9" s="157"/>
      <c r="K9" s="129"/>
      <c r="L9" s="157"/>
      <c r="M9" s="129"/>
      <c r="N9" s="128"/>
      <c r="O9" s="129"/>
      <c r="P9" s="124"/>
      <c r="Q9" s="125">
        <v>3953</v>
      </c>
      <c r="R9" s="124"/>
      <c r="S9" s="125"/>
      <c r="T9" s="124"/>
      <c r="U9" s="125"/>
      <c r="V9" s="141"/>
      <c r="W9" s="129"/>
      <c r="X9" s="891"/>
      <c r="Y9" s="125"/>
      <c r="Z9" s="894"/>
      <c r="AA9" s="131"/>
      <c r="AB9" s="891"/>
      <c r="AC9" s="125"/>
      <c r="AD9" s="891"/>
      <c r="AE9" s="125"/>
      <c r="AF9" s="891"/>
      <c r="AG9" s="119"/>
      <c r="AH9" s="891"/>
      <c r="AI9" s="125"/>
      <c r="AJ9" s="123"/>
      <c r="AK9" s="125"/>
      <c r="AL9" s="123"/>
      <c r="AM9" s="125"/>
      <c r="AN9" s="127"/>
      <c r="AO9" s="129"/>
      <c r="AP9" s="900"/>
      <c r="AQ9" s="906"/>
      <c r="AR9" s="770"/>
      <c r="AS9" s="148"/>
      <c r="AT9" s="157"/>
      <c r="AU9" s="129"/>
      <c r="AV9" s="160">
        <f t="shared" si="1"/>
        <v>0</v>
      </c>
      <c r="AW9" s="162">
        <f t="shared" si="2"/>
        <v>3953</v>
      </c>
      <c r="AX9" s="770"/>
      <c r="AY9" s="148"/>
      <c r="AZ9" s="160">
        <f t="shared" si="0"/>
        <v>0</v>
      </c>
      <c r="BA9" s="162">
        <f t="shared" si="0"/>
        <v>3953</v>
      </c>
    </row>
    <row r="10" spans="1:53" s="120" customFormat="1" ht="14.25">
      <c r="A10" s="455" t="s">
        <v>35</v>
      </c>
      <c r="B10" s="781">
        <v>237533</v>
      </c>
      <c r="C10" s="164">
        <v>644342</v>
      </c>
      <c r="D10" s="137">
        <v>195554</v>
      </c>
      <c r="E10" s="154">
        <v>56177</v>
      </c>
      <c r="F10" s="153">
        <v>744292</v>
      </c>
      <c r="G10" s="154">
        <v>1073206</v>
      </c>
      <c r="H10" s="153">
        <v>3158185</v>
      </c>
      <c r="I10" s="154">
        <v>3901205</v>
      </c>
      <c r="J10" s="160">
        <v>15665</v>
      </c>
      <c r="K10" s="154">
        <v>62389</v>
      </c>
      <c r="L10" s="160"/>
      <c r="M10" s="154"/>
      <c r="N10" s="153"/>
      <c r="O10" s="154">
        <v>55845</v>
      </c>
      <c r="P10" s="137"/>
      <c r="Q10" s="165">
        <v>31727</v>
      </c>
      <c r="R10" s="137"/>
      <c r="S10" s="165"/>
      <c r="T10" s="137"/>
      <c r="U10" s="165"/>
      <c r="V10" s="160">
        <v>443626</v>
      </c>
      <c r="W10" s="154">
        <v>714850</v>
      </c>
      <c r="X10" s="892">
        <v>1463288</v>
      </c>
      <c r="Y10" s="165">
        <v>2008902</v>
      </c>
      <c r="Z10" s="894">
        <v>58174</v>
      </c>
      <c r="AA10" s="131">
        <v>305972</v>
      </c>
      <c r="AB10" s="892"/>
      <c r="AC10" s="165"/>
      <c r="AD10" s="897">
        <v>944406</v>
      </c>
      <c r="AE10" s="898">
        <v>434839</v>
      </c>
      <c r="AF10" s="892">
        <v>822006</v>
      </c>
      <c r="AG10" s="119">
        <v>411225</v>
      </c>
      <c r="AH10" s="892">
        <v>413601</v>
      </c>
      <c r="AI10" s="165">
        <v>618959</v>
      </c>
      <c r="AJ10" s="777">
        <v>6262839</v>
      </c>
      <c r="AK10" s="165">
        <v>4902390</v>
      </c>
      <c r="AL10" s="123">
        <v>474496</v>
      </c>
      <c r="AM10" s="125">
        <v>387040</v>
      </c>
      <c r="AN10" s="246">
        <v>1361362</v>
      </c>
      <c r="AO10" s="904">
        <v>3721867</v>
      </c>
      <c r="AP10" s="900">
        <v>168233</v>
      </c>
      <c r="AQ10" s="906">
        <v>268161</v>
      </c>
      <c r="AR10" s="770"/>
      <c r="AS10" s="148"/>
      <c r="AT10" s="160">
        <f>1088617+811605</f>
        <v>1900222</v>
      </c>
      <c r="AU10" s="154">
        <f>1588197+1348020</f>
        <v>2936217</v>
      </c>
      <c r="AV10" s="160">
        <f t="shared" si="1"/>
        <v>18663482</v>
      </c>
      <c r="AW10" s="162">
        <f t="shared" si="2"/>
        <v>22535313</v>
      </c>
      <c r="AX10" s="160"/>
      <c r="AY10" s="154"/>
      <c r="AZ10" s="160">
        <f aca="true" t="shared" si="3" ref="AZ10:AZ26">AV10+AX10</f>
        <v>18663482</v>
      </c>
      <c r="BA10" s="162">
        <f aca="true" t="shared" si="4" ref="BA10:BA26">AW10+AY10</f>
        <v>22535313</v>
      </c>
    </row>
    <row r="11" spans="1:59" s="120" customFormat="1" ht="14.25">
      <c r="A11" s="455" t="s">
        <v>36</v>
      </c>
      <c r="B11" s="780">
        <v>34857222</v>
      </c>
      <c r="C11" s="122">
        <v>39659261</v>
      </c>
      <c r="D11" s="124">
        <v>2591828</v>
      </c>
      <c r="E11" s="129">
        <v>3392471</v>
      </c>
      <c r="F11" s="128">
        <v>12348246</v>
      </c>
      <c r="G11" s="129">
        <v>11977043</v>
      </c>
      <c r="H11" s="128">
        <v>33608958</v>
      </c>
      <c r="I11" s="129">
        <v>33861124</v>
      </c>
      <c r="J11" s="157">
        <v>5498459</v>
      </c>
      <c r="K11" s="129">
        <v>4974899</v>
      </c>
      <c r="L11" s="157">
        <v>14853713</v>
      </c>
      <c r="M11" s="129">
        <v>14134442</v>
      </c>
      <c r="N11" s="128">
        <v>-1</v>
      </c>
      <c r="O11" s="129">
        <v>1195470</v>
      </c>
      <c r="P11" s="124">
        <v>13513</v>
      </c>
      <c r="Q11" s="125">
        <v>76340</v>
      </c>
      <c r="R11" s="124">
        <v>7255553</v>
      </c>
      <c r="S11" s="125">
        <v>6411068</v>
      </c>
      <c r="T11" s="124">
        <v>3359014</v>
      </c>
      <c r="U11" s="125">
        <v>2913867</v>
      </c>
      <c r="V11" s="157">
        <v>49445411</v>
      </c>
      <c r="W11" s="129">
        <v>53532323</v>
      </c>
      <c r="X11" s="891">
        <v>112067294</v>
      </c>
      <c r="Y11" s="125">
        <v>117940746</v>
      </c>
      <c r="Z11" s="891">
        <v>3848586</v>
      </c>
      <c r="AA11" s="125">
        <v>4998783</v>
      </c>
      <c r="AB11" s="891">
        <v>12259042</v>
      </c>
      <c r="AC11" s="125">
        <v>9789856</v>
      </c>
      <c r="AD11" s="891">
        <v>9587931</v>
      </c>
      <c r="AE11" s="125">
        <v>11960422</v>
      </c>
      <c r="AF11" s="891">
        <v>19391699</v>
      </c>
      <c r="AG11" s="119">
        <v>22102977</v>
      </c>
      <c r="AH11" s="891">
        <v>11202975</v>
      </c>
      <c r="AI11" s="125">
        <v>13213633</v>
      </c>
      <c r="AJ11" s="123">
        <v>29628693</v>
      </c>
      <c r="AK11" s="125">
        <v>20967733</v>
      </c>
      <c r="AL11" s="123">
        <v>727651</v>
      </c>
      <c r="AM11" s="125">
        <v>771167</v>
      </c>
      <c r="AN11" s="246">
        <v>33972655</v>
      </c>
      <c r="AO11" s="904">
        <v>47890394</v>
      </c>
      <c r="AP11" s="900">
        <v>2126223</v>
      </c>
      <c r="AQ11" s="906">
        <v>2895587</v>
      </c>
      <c r="AR11" s="770">
        <v>4542666</v>
      </c>
      <c r="AS11" s="148">
        <v>6563753</v>
      </c>
      <c r="AT11" s="157">
        <v>23952964</v>
      </c>
      <c r="AU11" s="129">
        <v>19513220</v>
      </c>
      <c r="AV11" s="160">
        <f t="shared" si="1"/>
        <v>427140295</v>
      </c>
      <c r="AW11" s="162">
        <f t="shared" si="2"/>
        <v>450736579</v>
      </c>
      <c r="AX11" s="770">
        <v>375043264</v>
      </c>
      <c r="AY11" s="148">
        <v>449245557</v>
      </c>
      <c r="AZ11" s="160">
        <f t="shared" si="3"/>
        <v>802183559</v>
      </c>
      <c r="BA11" s="162">
        <f t="shared" si="4"/>
        <v>899982136</v>
      </c>
      <c r="BF11" s="186"/>
      <c r="BG11" s="186"/>
    </row>
    <row r="12" spans="1:53" s="120" customFormat="1" ht="14.25">
      <c r="A12" s="455" t="s">
        <v>37</v>
      </c>
      <c r="B12" s="780"/>
      <c r="C12" s="122"/>
      <c r="D12" s="124"/>
      <c r="E12" s="129"/>
      <c r="F12" s="128"/>
      <c r="G12" s="129"/>
      <c r="H12" s="128"/>
      <c r="I12" s="129"/>
      <c r="J12" s="157"/>
      <c r="K12" s="129"/>
      <c r="L12" s="157"/>
      <c r="M12" s="129"/>
      <c r="N12" s="128"/>
      <c r="O12" s="129"/>
      <c r="P12" s="124"/>
      <c r="Q12" s="125"/>
      <c r="R12" s="124"/>
      <c r="S12" s="125"/>
      <c r="T12" s="124"/>
      <c r="U12" s="125"/>
      <c r="V12" s="157">
        <v>10014996</v>
      </c>
      <c r="W12" s="129">
        <v>12295171</v>
      </c>
      <c r="X12" s="891"/>
      <c r="Y12" s="125"/>
      <c r="Z12" s="891"/>
      <c r="AA12" s="125"/>
      <c r="AB12" s="891"/>
      <c r="AC12" s="125"/>
      <c r="AD12" s="891">
        <v>1015687</v>
      </c>
      <c r="AE12" s="125">
        <v>712100</v>
      </c>
      <c r="AF12" s="891"/>
      <c r="AG12" s="119"/>
      <c r="AH12" s="891"/>
      <c r="AI12" s="125"/>
      <c r="AJ12" s="123"/>
      <c r="AK12" s="125"/>
      <c r="AL12" s="123"/>
      <c r="AM12" s="125"/>
      <c r="AN12" s="246"/>
      <c r="AO12" s="904"/>
      <c r="AP12" s="900"/>
      <c r="AQ12" s="906"/>
      <c r="AR12" s="770"/>
      <c r="AS12" s="148"/>
      <c r="AT12" s="157"/>
      <c r="AU12" s="129"/>
      <c r="AV12" s="160">
        <f t="shared" si="1"/>
        <v>11030683</v>
      </c>
      <c r="AW12" s="162">
        <f t="shared" si="2"/>
        <v>13007271</v>
      </c>
      <c r="AX12" s="770"/>
      <c r="AY12" s="148"/>
      <c r="AZ12" s="160">
        <f t="shared" si="3"/>
        <v>11030683</v>
      </c>
      <c r="BA12" s="162">
        <f t="shared" si="4"/>
        <v>13007271</v>
      </c>
    </row>
    <row r="13" spans="1:53" s="120" customFormat="1" ht="14.25">
      <c r="A13" s="455" t="s">
        <v>38</v>
      </c>
      <c r="B13" s="780"/>
      <c r="C13" s="122"/>
      <c r="D13" s="124">
        <v>130833</v>
      </c>
      <c r="E13" s="129">
        <v>146525</v>
      </c>
      <c r="F13" s="128"/>
      <c r="G13" s="129"/>
      <c r="H13" s="128"/>
      <c r="I13" s="129"/>
      <c r="J13" s="157"/>
      <c r="K13" s="129"/>
      <c r="L13" s="157">
        <v>2292081</v>
      </c>
      <c r="M13" s="129">
        <v>3283982</v>
      </c>
      <c r="N13" s="128"/>
      <c r="O13" s="129"/>
      <c r="P13" s="124">
        <v>31372</v>
      </c>
      <c r="Q13" s="125">
        <v>50087</v>
      </c>
      <c r="R13" s="124"/>
      <c r="S13" s="125"/>
      <c r="T13" s="124"/>
      <c r="U13" s="125"/>
      <c r="V13" s="157">
        <v>8356660</v>
      </c>
      <c r="W13" s="129">
        <v>10527504</v>
      </c>
      <c r="X13" s="891"/>
      <c r="Y13" s="125"/>
      <c r="Z13" s="891"/>
      <c r="AA13" s="125"/>
      <c r="AB13" s="891"/>
      <c r="AC13" s="125"/>
      <c r="AD13" s="891"/>
      <c r="AE13" s="125"/>
      <c r="AF13" s="891"/>
      <c r="AG13" s="119"/>
      <c r="AH13" s="891"/>
      <c r="AI13" s="125"/>
      <c r="AJ13" s="123"/>
      <c r="AK13" s="125"/>
      <c r="AL13" s="123"/>
      <c r="AM13" s="125"/>
      <c r="AN13" s="246"/>
      <c r="AO13" s="904"/>
      <c r="AP13" s="900">
        <v>13931</v>
      </c>
      <c r="AQ13" s="906">
        <v>19210</v>
      </c>
      <c r="AR13" s="770"/>
      <c r="AS13" s="148"/>
      <c r="AT13" s="157"/>
      <c r="AU13" s="129"/>
      <c r="AV13" s="160">
        <f t="shared" si="1"/>
        <v>10824877</v>
      </c>
      <c r="AW13" s="162">
        <f t="shared" si="2"/>
        <v>14027308</v>
      </c>
      <c r="AX13" s="770"/>
      <c r="AY13" s="148"/>
      <c r="AZ13" s="160">
        <f t="shared" si="3"/>
        <v>10824877</v>
      </c>
      <c r="BA13" s="162">
        <f t="shared" si="4"/>
        <v>14027308</v>
      </c>
    </row>
    <row r="14" spans="1:53" s="120" customFormat="1" ht="14.25">
      <c r="A14" s="455" t="s">
        <v>39</v>
      </c>
      <c r="B14" s="781">
        <v>69946</v>
      </c>
      <c r="C14" s="164">
        <v>47595</v>
      </c>
      <c r="D14" s="137">
        <v>13059</v>
      </c>
      <c r="E14" s="154">
        <v>22408</v>
      </c>
      <c r="F14" s="153">
        <v>15380</v>
      </c>
      <c r="G14" s="154">
        <v>8583</v>
      </c>
      <c r="H14" s="153">
        <v>275072</v>
      </c>
      <c r="I14" s="154">
        <v>184061</v>
      </c>
      <c r="J14" s="160">
        <v>23601</v>
      </c>
      <c r="K14" s="154">
        <v>22582</v>
      </c>
      <c r="L14" s="160"/>
      <c r="M14" s="154"/>
      <c r="N14" s="153">
        <v>1153824</v>
      </c>
      <c r="O14" s="154">
        <v>201</v>
      </c>
      <c r="P14" s="137"/>
      <c r="Q14" s="165"/>
      <c r="R14" s="137"/>
      <c r="S14" s="165"/>
      <c r="T14" s="137"/>
      <c r="U14" s="165"/>
      <c r="V14" s="160"/>
      <c r="W14" s="154"/>
      <c r="X14" s="892">
        <v>90890</v>
      </c>
      <c r="Y14" s="165">
        <v>108119</v>
      </c>
      <c r="Z14" s="894">
        <v>2749</v>
      </c>
      <c r="AA14" s="131">
        <v>11466</v>
      </c>
      <c r="AB14" s="892"/>
      <c r="AC14" s="165"/>
      <c r="AD14" s="897">
        <v>4924</v>
      </c>
      <c r="AE14" s="898">
        <v>4909</v>
      </c>
      <c r="AF14" s="892"/>
      <c r="AG14" s="119"/>
      <c r="AH14" s="892"/>
      <c r="AI14" s="165"/>
      <c r="AJ14" s="777">
        <v>3970</v>
      </c>
      <c r="AK14" s="165">
        <v>3798</v>
      </c>
      <c r="AL14" s="123"/>
      <c r="AM14" s="125"/>
      <c r="AN14" s="246"/>
      <c r="AO14" s="904"/>
      <c r="AP14" s="900"/>
      <c r="AQ14" s="906"/>
      <c r="AR14" s="770"/>
      <c r="AS14" s="148"/>
      <c r="AT14" s="160"/>
      <c r="AU14" s="154"/>
      <c r="AV14" s="160">
        <f t="shared" si="1"/>
        <v>1653415</v>
      </c>
      <c r="AW14" s="162">
        <f t="shared" si="2"/>
        <v>413722</v>
      </c>
      <c r="AX14" s="160"/>
      <c r="AY14" s="154"/>
      <c r="AZ14" s="160">
        <f t="shared" si="3"/>
        <v>1653415</v>
      </c>
      <c r="BA14" s="162">
        <f t="shared" si="4"/>
        <v>413722</v>
      </c>
    </row>
    <row r="15" spans="1:53" s="120" customFormat="1" ht="14.25">
      <c r="A15" s="455" t="s">
        <v>40</v>
      </c>
      <c r="B15" s="780">
        <v>5269</v>
      </c>
      <c r="C15" s="122">
        <v>11180</v>
      </c>
      <c r="D15" s="124">
        <v>11620</v>
      </c>
      <c r="E15" s="129">
        <v>14585</v>
      </c>
      <c r="F15" s="128">
        <v>4700</v>
      </c>
      <c r="G15" s="129">
        <v>15700</v>
      </c>
      <c r="H15" s="128">
        <v>139814</v>
      </c>
      <c r="I15" s="129">
        <v>111520</v>
      </c>
      <c r="J15" s="157">
        <v>17529</v>
      </c>
      <c r="K15" s="129">
        <v>12989</v>
      </c>
      <c r="L15" s="157"/>
      <c r="M15" s="129"/>
      <c r="N15" s="128"/>
      <c r="O15" s="129"/>
      <c r="P15" s="124">
        <v>1883</v>
      </c>
      <c r="Q15" s="125">
        <v>1364</v>
      </c>
      <c r="R15" s="124"/>
      <c r="S15" s="125"/>
      <c r="T15" s="124"/>
      <c r="U15" s="125"/>
      <c r="V15" s="157">
        <v>163458</v>
      </c>
      <c r="W15" s="129">
        <v>249093</v>
      </c>
      <c r="X15" s="891">
        <v>735805</v>
      </c>
      <c r="Y15" s="125">
        <v>770617</v>
      </c>
      <c r="Z15" s="894"/>
      <c r="AA15" s="131"/>
      <c r="AB15" s="891">
        <v>21543</v>
      </c>
      <c r="AC15" s="125">
        <v>23390</v>
      </c>
      <c r="AD15" s="891"/>
      <c r="AE15" s="125"/>
      <c r="AF15" s="891">
        <v>25187</v>
      </c>
      <c r="AG15" s="119">
        <v>23758</v>
      </c>
      <c r="AH15" s="891">
        <v>40303</v>
      </c>
      <c r="AI15" s="125">
        <v>48411</v>
      </c>
      <c r="AJ15" s="123">
        <v>16282</v>
      </c>
      <c r="AK15" s="125">
        <v>37935</v>
      </c>
      <c r="AL15" s="123"/>
      <c r="AM15" s="125"/>
      <c r="AN15" s="246"/>
      <c r="AO15" s="904"/>
      <c r="AP15" s="900"/>
      <c r="AQ15" s="906"/>
      <c r="AR15" s="770"/>
      <c r="AS15" s="148">
        <v>13442</v>
      </c>
      <c r="AT15" s="157">
        <v>6755</v>
      </c>
      <c r="AU15" s="129">
        <v>9993</v>
      </c>
      <c r="AV15" s="160">
        <f t="shared" si="1"/>
        <v>1190148</v>
      </c>
      <c r="AW15" s="162">
        <f t="shared" si="2"/>
        <v>1343977</v>
      </c>
      <c r="AX15" s="157">
        <f>90939+160541+82878+16787</f>
        <v>351145</v>
      </c>
      <c r="AY15" s="129">
        <f>108974+193568+103377+21004</f>
        <v>426923</v>
      </c>
      <c r="AZ15" s="160">
        <f t="shared" si="3"/>
        <v>1541293</v>
      </c>
      <c r="BA15" s="162">
        <f t="shared" si="4"/>
        <v>1770900</v>
      </c>
    </row>
    <row r="16" spans="1:53" s="120" customFormat="1" ht="14.25">
      <c r="A16" s="455" t="s">
        <v>41</v>
      </c>
      <c r="B16" s="780"/>
      <c r="C16" s="122"/>
      <c r="D16" s="124"/>
      <c r="E16" s="129"/>
      <c r="F16" s="128"/>
      <c r="G16" s="129"/>
      <c r="H16" s="128"/>
      <c r="I16" s="129"/>
      <c r="J16" s="157"/>
      <c r="K16" s="129"/>
      <c r="L16" s="157"/>
      <c r="M16" s="129"/>
      <c r="N16" s="128"/>
      <c r="O16" s="129"/>
      <c r="P16" s="124"/>
      <c r="Q16" s="125"/>
      <c r="R16" s="124"/>
      <c r="S16" s="125"/>
      <c r="T16" s="124"/>
      <c r="U16" s="125"/>
      <c r="V16" s="157"/>
      <c r="W16" s="129"/>
      <c r="X16" s="891"/>
      <c r="Y16" s="125"/>
      <c r="Z16" s="894"/>
      <c r="AA16" s="131"/>
      <c r="AB16" s="891"/>
      <c r="AC16" s="125"/>
      <c r="AD16" s="891"/>
      <c r="AE16" s="125"/>
      <c r="AF16" s="891"/>
      <c r="AG16" s="119"/>
      <c r="AH16" s="891"/>
      <c r="AI16" s="125"/>
      <c r="AJ16" s="123"/>
      <c r="AK16" s="125"/>
      <c r="AL16" s="123"/>
      <c r="AM16" s="125"/>
      <c r="AN16" s="246"/>
      <c r="AO16" s="904"/>
      <c r="AP16" s="900"/>
      <c r="AQ16" s="906"/>
      <c r="AR16" s="770"/>
      <c r="AS16" s="148"/>
      <c r="AT16" s="157"/>
      <c r="AU16" s="129"/>
      <c r="AV16" s="160">
        <f t="shared" si="1"/>
        <v>0</v>
      </c>
      <c r="AW16" s="162">
        <f t="shared" si="2"/>
        <v>0</v>
      </c>
      <c r="AX16" s="157"/>
      <c r="AY16" s="129"/>
      <c r="AZ16" s="160">
        <f t="shared" si="3"/>
        <v>0</v>
      </c>
      <c r="BA16" s="162">
        <f t="shared" si="4"/>
        <v>0</v>
      </c>
    </row>
    <row r="17" spans="1:53" s="120" customFormat="1" ht="14.25">
      <c r="A17" s="455" t="s">
        <v>42</v>
      </c>
      <c r="B17" s="780"/>
      <c r="C17" s="122"/>
      <c r="D17" s="124"/>
      <c r="E17" s="129"/>
      <c r="F17" s="128"/>
      <c r="G17" s="129"/>
      <c r="H17" s="128"/>
      <c r="I17" s="129"/>
      <c r="J17" s="157"/>
      <c r="K17" s="129"/>
      <c r="L17" s="157"/>
      <c r="M17" s="129"/>
      <c r="N17" s="128"/>
      <c r="O17" s="129"/>
      <c r="P17" s="124"/>
      <c r="Q17" s="125"/>
      <c r="R17" s="124"/>
      <c r="S17" s="125"/>
      <c r="T17" s="124"/>
      <c r="U17" s="125"/>
      <c r="V17" s="157"/>
      <c r="W17" s="129"/>
      <c r="X17" s="891"/>
      <c r="Y17" s="125"/>
      <c r="Z17" s="894"/>
      <c r="AA17" s="131"/>
      <c r="AB17" s="891"/>
      <c r="AC17" s="125"/>
      <c r="AD17" s="891"/>
      <c r="AE17" s="125"/>
      <c r="AF17" s="891">
        <v>5991098</v>
      </c>
      <c r="AG17" s="119">
        <v>7956977</v>
      </c>
      <c r="AH17" s="891"/>
      <c r="AI17" s="125"/>
      <c r="AJ17" s="123"/>
      <c r="AK17" s="125"/>
      <c r="AL17" s="123"/>
      <c r="AM17" s="125"/>
      <c r="AN17" s="246"/>
      <c r="AO17" s="904"/>
      <c r="AP17" s="900">
        <v>11812</v>
      </c>
      <c r="AQ17" s="906">
        <v>16411</v>
      </c>
      <c r="AR17" s="770"/>
      <c r="AS17" s="148"/>
      <c r="AT17" s="157"/>
      <c r="AU17" s="129"/>
      <c r="AV17" s="160">
        <f t="shared" si="1"/>
        <v>6002910</v>
      </c>
      <c r="AW17" s="162">
        <f t="shared" si="2"/>
        <v>7973388</v>
      </c>
      <c r="AX17" s="157"/>
      <c r="AY17" s="129"/>
      <c r="AZ17" s="160">
        <f t="shared" si="3"/>
        <v>6002910</v>
      </c>
      <c r="BA17" s="162">
        <f t="shared" si="4"/>
        <v>7973388</v>
      </c>
    </row>
    <row r="18" spans="1:53" s="120" customFormat="1" ht="14.25">
      <c r="A18" s="455" t="s">
        <v>43</v>
      </c>
      <c r="B18" s="780"/>
      <c r="C18" s="122"/>
      <c r="D18" s="124"/>
      <c r="E18" s="129"/>
      <c r="F18" s="128"/>
      <c r="G18" s="129"/>
      <c r="H18" s="128"/>
      <c r="I18" s="129"/>
      <c r="J18" s="157"/>
      <c r="K18" s="129"/>
      <c r="L18" s="157"/>
      <c r="M18" s="129"/>
      <c r="N18" s="128"/>
      <c r="O18" s="129"/>
      <c r="P18" s="124"/>
      <c r="Q18" s="125"/>
      <c r="R18" s="124"/>
      <c r="S18" s="125"/>
      <c r="T18" s="124"/>
      <c r="U18" s="125"/>
      <c r="V18" s="157">
        <v>1552061</v>
      </c>
      <c r="W18" s="129">
        <v>2370699</v>
      </c>
      <c r="X18" s="891"/>
      <c r="Y18" s="125"/>
      <c r="Z18" s="894"/>
      <c r="AA18" s="131"/>
      <c r="AB18" s="891"/>
      <c r="AC18" s="125"/>
      <c r="AD18" s="891"/>
      <c r="AE18" s="125"/>
      <c r="AF18" s="891"/>
      <c r="AG18" s="119"/>
      <c r="AH18" s="891"/>
      <c r="AI18" s="125"/>
      <c r="AJ18" s="123"/>
      <c r="AK18" s="125"/>
      <c r="AL18" s="123"/>
      <c r="AM18" s="125"/>
      <c r="AN18" s="246"/>
      <c r="AO18" s="904"/>
      <c r="AP18" s="900"/>
      <c r="AQ18" s="906"/>
      <c r="AR18" s="770"/>
      <c r="AS18" s="148"/>
      <c r="AT18" s="157"/>
      <c r="AU18" s="129"/>
      <c r="AV18" s="160">
        <f t="shared" si="1"/>
        <v>1552061</v>
      </c>
      <c r="AW18" s="162">
        <f t="shared" si="2"/>
        <v>2370699</v>
      </c>
      <c r="AX18" s="157"/>
      <c r="AY18" s="129"/>
      <c r="AZ18" s="160">
        <f t="shared" si="3"/>
        <v>1552061</v>
      </c>
      <c r="BA18" s="162">
        <f t="shared" si="4"/>
        <v>2370699</v>
      </c>
    </row>
    <row r="19" spans="1:53" s="120" customFormat="1" ht="14.25">
      <c r="A19" s="455" t="s">
        <v>44</v>
      </c>
      <c r="B19" s="780"/>
      <c r="C19" s="122"/>
      <c r="D19" s="124"/>
      <c r="E19" s="129"/>
      <c r="F19" s="128"/>
      <c r="G19" s="129"/>
      <c r="H19" s="128"/>
      <c r="I19" s="129"/>
      <c r="J19" s="157"/>
      <c r="K19" s="129"/>
      <c r="L19" s="157"/>
      <c r="M19" s="129"/>
      <c r="N19" s="128"/>
      <c r="O19" s="129"/>
      <c r="P19" s="124"/>
      <c r="Q19" s="125"/>
      <c r="R19" s="124"/>
      <c r="S19" s="125"/>
      <c r="T19" s="124"/>
      <c r="U19" s="125"/>
      <c r="V19" s="157">
        <v>174516</v>
      </c>
      <c r="W19" s="129">
        <v>178062</v>
      </c>
      <c r="X19" s="891"/>
      <c r="Y19" s="125"/>
      <c r="Z19" s="894"/>
      <c r="AA19" s="131"/>
      <c r="AB19" s="891"/>
      <c r="AC19" s="125"/>
      <c r="AD19" s="891"/>
      <c r="AE19" s="125"/>
      <c r="AF19" s="891"/>
      <c r="AG19" s="119"/>
      <c r="AH19" s="891"/>
      <c r="AI19" s="125"/>
      <c r="AJ19" s="123"/>
      <c r="AK19" s="125"/>
      <c r="AL19" s="123"/>
      <c r="AM19" s="125"/>
      <c r="AN19" s="246"/>
      <c r="AO19" s="904"/>
      <c r="AP19" s="900"/>
      <c r="AQ19" s="906"/>
      <c r="AR19" s="770"/>
      <c r="AS19" s="148"/>
      <c r="AT19" s="157"/>
      <c r="AU19" s="129"/>
      <c r="AV19" s="160">
        <f t="shared" si="1"/>
        <v>174516</v>
      </c>
      <c r="AW19" s="162">
        <f t="shared" si="2"/>
        <v>178062</v>
      </c>
      <c r="AX19" s="157"/>
      <c r="AY19" s="129"/>
      <c r="AZ19" s="160">
        <f t="shared" si="3"/>
        <v>174516</v>
      </c>
      <c r="BA19" s="162">
        <f t="shared" si="4"/>
        <v>178062</v>
      </c>
    </row>
    <row r="20" spans="1:53" s="120" customFormat="1" ht="14.25">
      <c r="A20" s="455" t="s">
        <v>45</v>
      </c>
      <c r="B20" s="780"/>
      <c r="C20" s="122"/>
      <c r="D20" s="124"/>
      <c r="E20" s="129">
        <v>14197</v>
      </c>
      <c r="F20" s="128"/>
      <c r="G20" s="129"/>
      <c r="H20" s="128"/>
      <c r="I20" s="129">
        <v>122799</v>
      </c>
      <c r="J20" s="157"/>
      <c r="K20" s="129"/>
      <c r="L20" s="157"/>
      <c r="M20" s="129"/>
      <c r="N20" s="128">
        <v>2526</v>
      </c>
      <c r="O20" s="129">
        <v>10099</v>
      </c>
      <c r="P20" s="124"/>
      <c r="Q20" s="125"/>
      <c r="R20" s="124"/>
      <c r="S20" s="125"/>
      <c r="T20" s="124"/>
      <c r="U20" s="125"/>
      <c r="V20" s="157">
        <v>85481</v>
      </c>
      <c r="W20" s="129">
        <v>546223</v>
      </c>
      <c r="X20" s="891">
        <v>92240</v>
      </c>
      <c r="Y20" s="125">
        <v>390569</v>
      </c>
      <c r="Z20" s="894"/>
      <c r="AA20" s="131"/>
      <c r="AB20" s="891"/>
      <c r="AC20" s="125"/>
      <c r="AD20" s="891"/>
      <c r="AE20" s="125"/>
      <c r="AF20" s="891"/>
      <c r="AG20" s="119"/>
      <c r="AH20" s="891">
        <v>48742</v>
      </c>
      <c r="AI20" s="125">
        <v>73710</v>
      </c>
      <c r="AJ20" s="123"/>
      <c r="AK20" s="125"/>
      <c r="AL20" s="123"/>
      <c r="AM20" s="125"/>
      <c r="AN20" s="246">
        <v>106014</v>
      </c>
      <c r="AO20" s="904">
        <v>443068</v>
      </c>
      <c r="AP20" s="900"/>
      <c r="AQ20" s="906"/>
      <c r="AR20" s="770"/>
      <c r="AS20" s="148"/>
      <c r="AT20" s="157"/>
      <c r="AU20" s="129">
        <v>189265</v>
      </c>
      <c r="AV20" s="160">
        <f t="shared" si="1"/>
        <v>335003</v>
      </c>
      <c r="AW20" s="162">
        <f t="shared" si="2"/>
        <v>1789930</v>
      </c>
      <c r="AX20" s="157"/>
      <c r="AY20" s="129"/>
      <c r="AZ20" s="160">
        <f t="shared" si="3"/>
        <v>335003</v>
      </c>
      <c r="BA20" s="162">
        <f t="shared" si="4"/>
        <v>1789930</v>
      </c>
    </row>
    <row r="21" spans="1:53" s="120" customFormat="1" ht="14.25">
      <c r="A21" s="455" t="s">
        <v>46</v>
      </c>
      <c r="B21" s="780"/>
      <c r="C21" s="122"/>
      <c r="D21" s="124"/>
      <c r="E21" s="129"/>
      <c r="F21" s="128"/>
      <c r="G21" s="129"/>
      <c r="H21" s="128"/>
      <c r="I21" s="129"/>
      <c r="J21" s="157"/>
      <c r="K21" s="129"/>
      <c r="L21" s="157"/>
      <c r="M21" s="129"/>
      <c r="N21" s="128">
        <v>43782</v>
      </c>
      <c r="O21" s="129">
        <v>2549</v>
      </c>
      <c r="P21" s="124"/>
      <c r="Q21" s="125"/>
      <c r="R21" s="124"/>
      <c r="S21" s="125"/>
      <c r="T21" s="124"/>
      <c r="U21" s="125"/>
      <c r="V21" s="157"/>
      <c r="W21" s="129"/>
      <c r="X21" s="891"/>
      <c r="Y21" s="125"/>
      <c r="Z21" s="894"/>
      <c r="AA21" s="131"/>
      <c r="AB21" s="891">
        <v>7966</v>
      </c>
      <c r="AC21" s="125">
        <v>6700</v>
      </c>
      <c r="AD21" s="891">
        <v>6909</v>
      </c>
      <c r="AE21" s="125">
        <v>6633</v>
      </c>
      <c r="AF21" s="891"/>
      <c r="AG21" s="119"/>
      <c r="AH21" s="891"/>
      <c r="AI21" s="125"/>
      <c r="AJ21" s="123">
        <v>16003</v>
      </c>
      <c r="AK21" s="125">
        <v>13086</v>
      </c>
      <c r="AL21" s="123"/>
      <c r="AM21" s="125"/>
      <c r="AN21" s="127"/>
      <c r="AO21" s="904"/>
      <c r="AP21" s="900"/>
      <c r="AQ21" s="906"/>
      <c r="AR21" s="770">
        <v>14095</v>
      </c>
      <c r="AS21" s="148">
        <v>9091</v>
      </c>
      <c r="AT21" s="157"/>
      <c r="AU21" s="129"/>
      <c r="AV21" s="160">
        <f t="shared" si="1"/>
        <v>88755</v>
      </c>
      <c r="AW21" s="162">
        <f t="shared" si="2"/>
        <v>38059</v>
      </c>
      <c r="AX21" s="157"/>
      <c r="AY21" s="129"/>
      <c r="AZ21" s="160">
        <f t="shared" si="3"/>
        <v>88755</v>
      </c>
      <c r="BA21" s="162">
        <f t="shared" si="4"/>
        <v>38059</v>
      </c>
    </row>
    <row r="22" spans="1:53" s="120" customFormat="1" ht="14.25">
      <c r="A22" s="455" t="s">
        <v>47</v>
      </c>
      <c r="B22" s="780"/>
      <c r="C22" s="122"/>
      <c r="D22" s="124"/>
      <c r="E22" s="129"/>
      <c r="F22" s="128">
        <v>45224</v>
      </c>
      <c r="G22" s="129">
        <v>142153</v>
      </c>
      <c r="H22" s="128">
        <v>191358</v>
      </c>
      <c r="I22" s="129">
        <v>200465</v>
      </c>
      <c r="J22" s="157"/>
      <c r="K22" s="129"/>
      <c r="L22" s="157"/>
      <c r="M22" s="129"/>
      <c r="N22" s="128">
        <v>-201</v>
      </c>
      <c r="O22" s="129"/>
      <c r="P22" s="124"/>
      <c r="Q22" s="125"/>
      <c r="R22" s="124"/>
      <c r="S22" s="125"/>
      <c r="T22" s="163">
        <f>500+168407+57474+9710+7038</f>
        <v>243129</v>
      </c>
      <c r="U22" s="185">
        <f>175+183961+13503+4602+854</f>
        <v>203095</v>
      </c>
      <c r="V22" s="157"/>
      <c r="W22" s="129"/>
      <c r="X22" s="891"/>
      <c r="Y22" s="125"/>
      <c r="Z22" s="894">
        <v>3292</v>
      </c>
      <c r="AA22" s="131">
        <v>10504</v>
      </c>
      <c r="AB22" s="891"/>
      <c r="AC22" s="125"/>
      <c r="AD22" s="891">
        <v>17416</v>
      </c>
      <c r="AE22" s="125">
        <v>49459</v>
      </c>
      <c r="AF22" s="891">
        <v>164152</v>
      </c>
      <c r="AG22" s="119">
        <v>200953</v>
      </c>
      <c r="AH22" s="891"/>
      <c r="AI22" s="125"/>
      <c r="AJ22" s="123">
        <v>114197</v>
      </c>
      <c r="AK22" s="125">
        <v>382440</v>
      </c>
      <c r="AL22" s="123">
        <v>1091</v>
      </c>
      <c r="AM22" s="125">
        <v>1205</v>
      </c>
      <c r="AN22" s="246">
        <v>15018338</v>
      </c>
      <c r="AO22" s="904">
        <v>15766653</v>
      </c>
      <c r="AP22" s="900">
        <v>16773</v>
      </c>
      <c r="AQ22" s="906">
        <v>26514</v>
      </c>
      <c r="AR22" s="770">
        <f>593589+2354</f>
        <v>595943</v>
      </c>
      <c r="AS22" s="148">
        <f>693087+55052+4193</f>
        <v>752332</v>
      </c>
      <c r="AT22" s="157">
        <f>11607+1504562</f>
        <v>1516169</v>
      </c>
      <c r="AU22" s="129">
        <f>9939+769685</f>
        <v>779624</v>
      </c>
      <c r="AV22" s="160">
        <f t="shared" si="1"/>
        <v>17926881</v>
      </c>
      <c r="AW22" s="162">
        <f t="shared" si="2"/>
        <v>18515397</v>
      </c>
      <c r="AX22" s="157">
        <v>81215</v>
      </c>
      <c r="AY22" s="129">
        <v>2829087</v>
      </c>
      <c r="AZ22" s="160">
        <f t="shared" si="3"/>
        <v>18008096</v>
      </c>
      <c r="BA22" s="162">
        <f t="shared" si="4"/>
        <v>21344484</v>
      </c>
    </row>
    <row r="23" spans="1:53" s="120" customFormat="1" ht="14.25">
      <c r="A23" s="455" t="s">
        <v>48</v>
      </c>
      <c r="B23" s="780"/>
      <c r="C23" s="122"/>
      <c r="D23" s="124"/>
      <c r="E23" s="129"/>
      <c r="F23" s="128"/>
      <c r="G23" s="129"/>
      <c r="H23" s="128"/>
      <c r="I23" s="129"/>
      <c r="J23" s="157"/>
      <c r="K23" s="129"/>
      <c r="L23" s="157"/>
      <c r="M23" s="129"/>
      <c r="N23" s="128"/>
      <c r="O23" s="129"/>
      <c r="P23" s="124"/>
      <c r="Q23" s="125"/>
      <c r="R23" s="124"/>
      <c r="S23" s="125"/>
      <c r="T23" s="124"/>
      <c r="U23" s="125"/>
      <c r="V23" s="157"/>
      <c r="W23" s="129"/>
      <c r="X23" s="891"/>
      <c r="Y23" s="125"/>
      <c r="Z23" s="894"/>
      <c r="AA23" s="131"/>
      <c r="AB23" s="891"/>
      <c r="AC23" s="125"/>
      <c r="AD23" s="891"/>
      <c r="AE23" s="125"/>
      <c r="AF23" s="891"/>
      <c r="AG23" s="119"/>
      <c r="AH23" s="891"/>
      <c r="AI23" s="125"/>
      <c r="AJ23" s="123"/>
      <c r="AK23" s="125"/>
      <c r="AL23" s="123"/>
      <c r="AM23" s="125"/>
      <c r="AN23" s="127"/>
      <c r="AO23" s="129"/>
      <c r="AP23" s="900"/>
      <c r="AQ23" s="906"/>
      <c r="AR23" s="770"/>
      <c r="AS23" s="148"/>
      <c r="AT23" s="157"/>
      <c r="AU23" s="129"/>
      <c r="AV23" s="160">
        <f t="shared" si="1"/>
        <v>0</v>
      </c>
      <c r="AW23" s="162">
        <f t="shared" si="2"/>
        <v>0</v>
      </c>
      <c r="AX23" s="157"/>
      <c r="AY23" s="129"/>
      <c r="AZ23" s="160">
        <f t="shared" si="3"/>
        <v>0</v>
      </c>
      <c r="BA23" s="162">
        <f t="shared" si="4"/>
        <v>0</v>
      </c>
    </row>
    <row r="24" spans="1:53" s="120" customFormat="1" ht="14.25">
      <c r="A24" s="455" t="s">
        <v>31</v>
      </c>
      <c r="B24" s="781">
        <v>-1132686</v>
      </c>
      <c r="C24" s="164">
        <v>-1583870</v>
      </c>
      <c r="D24" s="137">
        <v>-202152</v>
      </c>
      <c r="E24" s="154">
        <v>-285112</v>
      </c>
      <c r="F24" s="153">
        <v>-580821</v>
      </c>
      <c r="G24" s="154">
        <v>-437983</v>
      </c>
      <c r="H24" s="153">
        <v>-499099</v>
      </c>
      <c r="I24" s="154">
        <v>-385731</v>
      </c>
      <c r="J24" s="160">
        <v>-141905</v>
      </c>
      <c r="K24" s="154">
        <v>-171096</v>
      </c>
      <c r="L24" s="160">
        <v>-61228</v>
      </c>
      <c r="M24" s="154">
        <v>-54483</v>
      </c>
      <c r="N24" s="153">
        <v>-263018</v>
      </c>
      <c r="O24" s="154">
        <v>-405615</v>
      </c>
      <c r="P24" s="137">
        <v>-102233</v>
      </c>
      <c r="Q24" s="165">
        <v>-131608</v>
      </c>
      <c r="R24" s="137">
        <v>-127361</v>
      </c>
      <c r="S24" s="165">
        <v>-262465</v>
      </c>
      <c r="T24" s="137">
        <v>-196856</v>
      </c>
      <c r="U24" s="165">
        <v>-388118</v>
      </c>
      <c r="V24" s="160">
        <v>-739273</v>
      </c>
      <c r="W24" s="154">
        <v>-1103661</v>
      </c>
      <c r="X24" s="892">
        <v>-994631</v>
      </c>
      <c r="Y24" s="165">
        <v>-1368395</v>
      </c>
      <c r="Z24" s="894">
        <v>-70604</v>
      </c>
      <c r="AA24" s="131">
        <v>-124500</v>
      </c>
      <c r="AB24" s="892">
        <v>-340777</v>
      </c>
      <c r="AC24" s="165">
        <v>-550637</v>
      </c>
      <c r="AD24" s="897">
        <v>-460968</v>
      </c>
      <c r="AE24" s="898">
        <v>-460580</v>
      </c>
      <c r="AF24" s="892">
        <v>-430368</v>
      </c>
      <c r="AG24" s="119">
        <v>-698223</v>
      </c>
      <c r="AH24" s="892">
        <v>-700482</v>
      </c>
      <c r="AI24" s="165">
        <v>-822486</v>
      </c>
      <c r="AJ24" s="777">
        <v>-322985</v>
      </c>
      <c r="AK24" s="165">
        <v>-305242</v>
      </c>
      <c r="AL24" s="123">
        <v>-1096</v>
      </c>
      <c r="AM24" s="125">
        <v>-115</v>
      </c>
      <c r="AN24" s="246">
        <v>-1483300</v>
      </c>
      <c r="AO24" s="904">
        <v>-1559853</v>
      </c>
      <c r="AP24" s="900">
        <v>-24928</v>
      </c>
      <c r="AQ24" s="906">
        <v>-21478</v>
      </c>
      <c r="AR24" s="770">
        <v>-306901</v>
      </c>
      <c r="AS24" s="148">
        <v>-388946</v>
      </c>
      <c r="AT24" s="160">
        <v>-230698</v>
      </c>
      <c r="AU24" s="154">
        <v>-301816</v>
      </c>
      <c r="AV24" s="160">
        <f t="shared" si="1"/>
        <v>-9414370</v>
      </c>
      <c r="AW24" s="162">
        <f t="shared" si="2"/>
        <v>-11812013</v>
      </c>
      <c r="AX24" s="160">
        <v>-821162</v>
      </c>
      <c r="AY24" s="154">
        <v>-1693793</v>
      </c>
      <c r="AZ24" s="160">
        <f t="shared" si="3"/>
        <v>-10235532</v>
      </c>
      <c r="BA24" s="162">
        <f t="shared" si="4"/>
        <v>-13505806</v>
      </c>
    </row>
    <row r="25" spans="1:53" s="120" customFormat="1" ht="14.25">
      <c r="A25" s="455" t="s">
        <v>32</v>
      </c>
      <c r="B25" s="780"/>
      <c r="C25" s="122"/>
      <c r="D25" s="124"/>
      <c r="E25" s="129"/>
      <c r="F25" s="128"/>
      <c r="G25" s="129"/>
      <c r="H25" s="128"/>
      <c r="I25" s="129"/>
      <c r="J25" s="157"/>
      <c r="K25" s="129"/>
      <c r="L25" s="157"/>
      <c r="M25" s="129"/>
      <c r="N25" s="128"/>
      <c r="O25" s="129"/>
      <c r="P25" s="124"/>
      <c r="Q25" s="125"/>
      <c r="R25" s="124"/>
      <c r="S25" s="125"/>
      <c r="T25" s="124"/>
      <c r="U25" s="125"/>
      <c r="V25" s="157"/>
      <c r="W25" s="129"/>
      <c r="X25" s="891"/>
      <c r="Y25" s="125"/>
      <c r="Z25" s="894"/>
      <c r="AA25" s="131"/>
      <c r="AB25" s="891"/>
      <c r="AC25" s="125"/>
      <c r="AD25" s="891"/>
      <c r="AE25" s="125"/>
      <c r="AF25" s="891"/>
      <c r="AG25" s="119"/>
      <c r="AH25" s="891"/>
      <c r="AI25" s="125"/>
      <c r="AJ25" s="123"/>
      <c r="AK25" s="125"/>
      <c r="AL25" s="123"/>
      <c r="AM25" s="125"/>
      <c r="AN25" s="127"/>
      <c r="AO25" s="129"/>
      <c r="AP25" s="900"/>
      <c r="AQ25" s="906"/>
      <c r="AR25" s="770"/>
      <c r="AS25" s="148"/>
      <c r="AT25" s="157"/>
      <c r="AU25" s="129"/>
      <c r="AV25" s="160">
        <f t="shared" si="1"/>
        <v>0</v>
      </c>
      <c r="AW25" s="162">
        <f t="shared" si="2"/>
        <v>0</v>
      </c>
      <c r="AX25" s="770"/>
      <c r="AY25" s="148"/>
      <c r="AZ25" s="160">
        <f t="shared" si="3"/>
        <v>0</v>
      </c>
      <c r="BA25" s="162">
        <f t="shared" si="4"/>
        <v>0</v>
      </c>
    </row>
    <row r="26" spans="1:53" s="120" customFormat="1" ht="14.25">
      <c r="A26" s="455" t="s">
        <v>49</v>
      </c>
      <c r="B26" s="780"/>
      <c r="C26" s="122"/>
      <c r="D26" s="124"/>
      <c r="E26" s="129"/>
      <c r="F26" s="128"/>
      <c r="G26" s="129"/>
      <c r="H26" s="128"/>
      <c r="I26" s="129"/>
      <c r="J26" s="157"/>
      <c r="K26" s="129"/>
      <c r="L26" s="157"/>
      <c r="M26" s="129"/>
      <c r="N26" s="128"/>
      <c r="O26" s="129"/>
      <c r="P26" s="124"/>
      <c r="Q26" s="125"/>
      <c r="R26" s="124"/>
      <c r="S26" s="125"/>
      <c r="T26" s="124"/>
      <c r="U26" s="125"/>
      <c r="V26" s="157"/>
      <c r="W26" s="129"/>
      <c r="X26" s="891"/>
      <c r="Y26" s="125"/>
      <c r="Z26" s="894"/>
      <c r="AA26" s="131"/>
      <c r="AB26" s="891"/>
      <c r="AC26" s="125"/>
      <c r="AD26" s="891"/>
      <c r="AE26" s="125"/>
      <c r="AF26" s="891"/>
      <c r="AG26" s="119"/>
      <c r="AH26" s="891"/>
      <c r="AI26" s="125"/>
      <c r="AJ26" s="123"/>
      <c r="AK26" s="125"/>
      <c r="AL26" s="123"/>
      <c r="AM26" s="125"/>
      <c r="AN26" s="127">
        <v>-2669</v>
      </c>
      <c r="AO26" s="129">
        <v>-1442</v>
      </c>
      <c r="AP26" s="900"/>
      <c r="AQ26" s="906"/>
      <c r="AR26" s="770"/>
      <c r="AS26" s="148"/>
      <c r="AT26" s="157"/>
      <c r="AU26" s="129"/>
      <c r="AV26" s="160">
        <f t="shared" si="1"/>
        <v>-2669</v>
      </c>
      <c r="AW26" s="162">
        <f t="shared" si="2"/>
        <v>-1442</v>
      </c>
      <c r="AX26" s="770"/>
      <c r="AY26" s="148"/>
      <c r="AZ26" s="160">
        <f t="shared" si="3"/>
        <v>-2669</v>
      </c>
      <c r="BA26" s="162">
        <f t="shared" si="4"/>
        <v>-1442</v>
      </c>
    </row>
    <row r="27" spans="1:53" s="120" customFormat="1" ht="14.25">
      <c r="A27" s="455" t="s">
        <v>50</v>
      </c>
      <c r="B27" s="780">
        <v>-2538</v>
      </c>
      <c r="C27" s="122">
        <v>-3645</v>
      </c>
      <c r="D27" s="124">
        <v>-5225</v>
      </c>
      <c r="E27" s="129">
        <v>-7018</v>
      </c>
      <c r="F27" s="128"/>
      <c r="G27" s="129"/>
      <c r="H27" s="128">
        <v>-33292</v>
      </c>
      <c r="I27" s="129">
        <v>-4239</v>
      </c>
      <c r="J27" s="157">
        <v>-8426</v>
      </c>
      <c r="K27" s="129">
        <v>-4338</v>
      </c>
      <c r="L27" s="157"/>
      <c r="M27" s="129"/>
      <c r="N27" s="128"/>
      <c r="O27" s="129"/>
      <c r="P27" s="124">
        <v>-577</v>
      </c>
      <c r="Q27" s="125">
        <v>-574</v>
      </c>
      <c r="R27" s="124"/>
      <c r="S27" s="125"/>
      <c r="T27" s="124"/>
      <c r="U27" s="125"/>
      <c r="V27" s="157">
        <v>-49288</v>
      </c>
      <c r="W27" s="129">
        <v>-104797</v>
      </c>
      <c r="X27" s="891">
        <v>-338360</v>
      </c>
      <c r="Y27" s="125">
        <v>-338772</v>
      </c>
      <c r="Z27" s="894"/>
      <c r="AA27" s="131">
        <v>-7315</v>
      </c>
      <c r="AB27" s="891">
        <v>-9492</v>
      </c>
      <c r="AC27" s="125">
        <v>-10128</v>
      </c>
      <c r="AD27" s="891"/>
      <c r="AE27" s="125"/>
      <c r="AF27" s="891">
        <v>-12394</v>
      </c>
      <c r="AG27" s="119">
        <v>-10041</v>
      </c>
      <c r="AH27" s="891">
        <v>-18</v>
      </c>
      <c r="AI27" s="125">
        <v>-37708</v>
      </c>
      <c r="AJ27" s="123">
        <v>-6977</v>
      </c>
      <c r="AK27" s="125">
        <v>-5737</v>
      </c>
      <c r="AL27" s="123"/>
      <c r="AM27" s="125"/>
      <c r="AN27" s="246"/>
      <c r="AO27" s="904"/>
      <c r="AP27" s="900"/>
      <c r="AQ27" s="906"/>
      <c r="AR27" s="770"/>
      <c r="AS27" s="148">
        <v>-9672</v>
      </c>
      <c r="AT27" s="157"/>
      <c r="AU27" s="129"/>
      <c r="AV27" s="160">
        <f t="shared" si="1"/>
        <v>-466587</v>
      </c>
      <c r="AW27" s="162">
        <f t="shared" si="2"/>
        <v>-543984</v>
      </c>
      <c r="AX27" s="770">
        <v>-90688</v>
      </c>
      <c r="AY27" s="148">
        <v>-127177</v>
      </c>
      <c r="AZ27" s="160">
        <f>AV27+AX27</f>
        <v>-557275</v>
      </c>
      <c r="BA27" s="162">
        <f>AW27+AY27</f>
        <v>-671161</v>
      </c>
    </row>
    <row r="28" spans="1:53" s="120" customFormat="1" ht="14.25">
      <c r="A28" s="455" t="s">
        <v>51</v>
      </c>
      <c r="B28" s="780"/>
      <c r="C28" s="122"/>
      <c r="D28" s="124">
        <v>-2363</v>
      </c>
      <c r="E28" s="129">
        <v>-17156</v>
      </c>
      <c r="F28" s="128"/>
      <c r="G28" s="129"/>
      <c r="H28" s="128">
        <v>-3360</v>
      </c>
      <c r="I28" s="129">
        <v>-2918</v>
      </c>
      <c r="J28" s="157">
        <v>-700</v>
      </c>
      <c r="K28" s="129">
        <v>-4677</v>
      </c>
      <c r="L28" s="157"/>
      <c r="M28" s="129"/>
      <c r="N28" s="128"/>
      <c r="O28" s="129"/>
      <c r="P28" s="124"/>
      <c r="Q28" s="125"/>
      <c r="R28" s="124"/>
      <c r="S28" s="125"/>
      <c r="T28" s="124"/>
      <c r="U28" s="125"/>
      <c r="V28" s="157"/>
      <c r="W28" s="129"/>
      <c r="X28" s="891"/>
      <c r="Y28" s="125"/>
      <c r="Z28" s="894">
        <v>-129</v>
      </c>
      <c r="AA28" s="131">
        <v>-85</v>
      </c>
      <c r="AB28" s="891"/>
      <c r="AC28" s="125"/>
      <c r="AD28" s="891">
        <v>-88</v>
      </c>
      <c r="AE28" s="125">
        <v>-257</v>
      </c>
      <c r="AF28" s="891"/>
      <c r="AG28" s="125"/>
      <c r="AH28" s="891"/>
      <c r="AI28" s="125"/>
      <c r="AJ28" s="123"/>
      <c r="AK28" s="125"/>
      <c r="AL28" s="123"/>
      <c r="AM28" s="125"/>
      <c r="AN28" s="246"/>
      <c r="AO28" s="904"/>
      <c r="AP28" s="900"/>
      <c r="AQ28" s="906"/>
      <c r="AR28" s="770"/>
      <c r="AS28" s="148"/>
      <c r="AT28" s="157"/>
      <c r="AU28" s="129"/>
      <c r="AV28" s="160">
        <f t="shared" si="1"/>
        <v>-6640</v>
      </c>
      <c r="AW28" s="162">
        <f t="shared" si="2"/>
        <v>-25093</v>
      </c>
      <c r="AX28" s="770"/>
      <c r="AY28" s="148"/>
      <c r="AZ28" s="160">
        <f aca="true" t="shared" si="5" ref="AZ28:AZ33">AV28+AX28</f>
        <v>-6640</v>
      </c>
      <c r="BA28" s="162">
        <f aca="true" t="shared" si="6" ref="BA28:BA33">AW28+AY28</f>
        <v>-25093</v>
      </c>
    </row>
    <row r="29" spans="1:53" s="120" customFormat="1" ht="14.25">
      <c r="A29" s="455" t="s">
        <v>52</v>
      </c>
      <c r="B29" s="781"/>
      <c r="C29" s="164"/>
      <c r="D29" s="137"/>
      <c r="E29" s="154"/>
      <c r="F29" s="153"/>
      <c r="G29" s="154"/>
      <c r="H29" s="153"/>
      <c r="I29" s="154"/>
      <c r="J29" s="160"/>
      <c r="K29" s="154"/>
      <c r="L29" s="160"/>
      <c r="M29" s="154"/>
      <c r="N29" s="153"/>
      <c r="O29" s="154"/>
      <c r="P29" s="137"/>
      <c r="Q29" s="165"/>
      <c r="R29" s="137"/>
      <c r="S29" s="165"/>
      <c r="T29" s="137"/>
      <c r="U29" s="165"/>
      <c r="V29" s="160"/>
      <c r="W29" s="154"/>
      <c r="X29" s="892"/>
      <c r="Y29" s="165"/>
      <c r="Z29" s="894"/>
      <c r="AA29" s="131"/>
      <c r="AB29" s="892"/>
      <c r="AC29" s="165"/>
      <c r="AD29" s="897"/>
      <c r="AE29" s="898"/>
      <c r="AF29" s="892"/>
      <c r="AG29" s="165"/>
      <c r="AH29" s="892"/>
      <c r="AI29" s="165"/>
      <c r="AJ29" s="777"/>
      <c r="AK29" s="165"/>
      <c r="AL29" s="123"/>
      <c r="AM29" s="125"/>
      <c r="AN29" s="127"/>
      <c r="AO29" s="129"/>
      <c r="AP29" s="900"/>
      <c r="AQ29" s="906"/>
      <c r="AR29" s="770"/>
      <c r="AS29" s="148"/>
      <c r="AT29" s="160"/>
      <c r="AU29" s="154"/>
      <c r="AV29" s="160">
        <f t="shared" si="1"/>
        <v>0</v>
      </c>
      <c r="AW29" s="162">
        <f t="shared" si="2"/>
        <v>0</v>
      </c>
      <c r="AX29" s="160"/>
      <c r="AY29" s="154"/>
      <c r="AZ29" s="160">
        <f t="shared" si="5"/>
        <v>0</v>
      </c>
      <c r="BA29" s="162">
        <f t="shared" si="6"/>
        <v>0</v>
      </c>
    </row>
    <row r="30" spans="1:53" s="120" customFormat="1" ht="14.25">
      <c r="A30" s="455" t="s">
        <v>31</v>
      </c>
      <c r="B30" s="780"/>
      <c r="C30" s="122"/>
      <c r="D30" s="124"/>
      <c r="E30" s="129"/>
      <c r="F30" s="128"/>
      <c r="G30" s="129"/>
      <c r="H30" s="128"/>
      <c r="I30" s="129"/>
      <c r="J30" s="157"/>
      <c r="K30" s="129"/>
      <c r="L30" s="157"/>
      <c r="M30" s="129"/>
      <c r="N30" s="128"/>
      <c r="O30" s="129"/>
      <c r="P30" s="124"/>
      <c r="Q30" s="125"/>
      <c r="R30" s="124"/>
      <c r="S30" s="125"/>
      <c r="T30" s="124"/>
      <c r="U30" s="125"/>
      <c r="V30" s="157"/>
      <c r="W30" s="129"/>
      <c r="X30" s="891"/>
      <c r="Y30" s="125"/>
      <c r="Z30" s="894"/>
      <c r="AA30" s="131"/>
      <c r="AB30" s="891"/>
      <c r="AC30" s="125"/>
      <c r="AD30" s="891"/>
      <c r="AE30" s="125"/>
      <c r="AF30" s="891"/>
      <c r="AG30" s="125"/>
      <c r="AH30" s="891"/>
      <c r="AI30" s="125"/>
      <c r="AJ30" s="123"/>
      <c r="AK30" s="125"/>
      <c r="AL30" s="123"/>
      <c r="AM30" s="125"/>
      <c r="AN30" s="127"/>
      <c r="AO30" s="129"/>
      <c r="AP30" s="900"/>
      <c r="AQ30" s="906"/>
      <c r="AR30" s="770"/>
      <c r="AS30" s="148"/>
      <c r="AT30" s="157"/>
      <c r="AU30" s="129"/>
      <c r="AV30" s="160">
        <f t="shared" si="1"/>
        <v>0</v>
      </c>
      <c r="AW30" s="162">
        <f t="shared" si="2"/>
        <v>0</v>
      </c>
      <c r="AX30" s="770"/>
      <c r="AY30" s="148"/>
      <c r="AZ30" s="160">
        <f t="shared" si="5"/>
        <v>0</v>
      </c>
      <c r="BA30" s="162">
        <f t="shared" si="6"/>
        <v>0</v>
      </c>
    </row>
    <row r="31" spans="1:53" s="120" customFormat="1" ht="14.25">
      <c r="A31" s="455" t="s">
        <v>32</v>
      </c>
      <c r="B31" s="780"/>
      <c r="C31" s="122"/>
      <c r="D31" s="124"/>
      <c r="E31" s="129"/>
      <c r="F31" s="128"/>
      <c r="G31" s="129"/>
      <c r="H31" s="128"/>
      <c r="I31" s="129"/>
      <c r="J31" s="157"/>
      <c r="K31" s="129"/>
      <c r="L31" s="157"/>
      <c r="M31" s="129"/>
      <c r="N31" s="128"/>
      <c r="O31" s="129"/>
      <c r="P31" s="124"/>
      <c r="Q31" s="125"/>
      <c r="R31" s="124"/>
      <c r="S31" s="125"/>
      <c r="T31" s="124"/>
      <c r="U31" s="125"/>
      <c r="V31" s="157"/>
      <c r="W31" s="129"/>
      <c r="X31" s="891"/>
      <c r="Y31" s="125"/>
      <c r="Z31" s="894"/>
      <c r="AA31" s="131"/>
      <c r="AB31" s="891"/>
      <c r="AC31" s="125"/>
      <c r="AD31" s="891"/>
      <c r="AE31" s="125"/>
      <c r="AF31" s="891"/>
      <c r="AG31" s="125"/>
      <c r="AH31" s="891"/>
      <c r="AI31" s="125"/>
      <c r="AJ31" s="123"/>
      <c r="AK31" s="125"/>
      <c r="AL31" s="123"/>
      <c r="AM31" s="125"/>
      <c r="AN31" s="127"/>
      <c r="AO31" s="129"/>
      <c r="AP31" s="900"/>
      <c r="AQ31" s="906"/>
      <c r="AR31" s="770"/>
      <c r="AS31" s="148"/>
      <c r="AT31" s="157"/>
      <c r="AU31" s="129"/>
      <c r="AV31" s="160">
        <f t="shared" si="1"/>
        <v>0</v>
      </c>
      <c r="AW31" s="162">
        <f t="shared" si="2"/>
        <v>0</v>
      </c>
      <c r="AX31" s="770"/>
      <c r="AY31" s="148"/>
      <c r="AZ31" s="160">
        <f t="shared" si="5"/>
        <v>0</v>
      </c>
      <c r="BA31" s="162">
        <f t="shared" si="6"/>
        <v>0</v>
      </c>
    </row>
    <row r="32" spans="1:53" s="120" customFormat="1" ht="14.25">
      <c r="A32" s="455" t="s">
        <v>49</v>
      </c>
      <c r="B32" s="780"/>
      <c r="C32" s="122"/>
      <c r="D32" s="124"/>
      <c r="E32" s="129"/>
      <c r="F32" s="128"/>
      <c r="G32" s="129"/>
      <c r="H32" s="128"/>
      <c r="I32" s="129"/>
      <c r="J32" s="157"/>
      <c r="K32" s="129"/>
      <c r="L32" s="157"/>
      <c r="M32" s="129"/>
      <c r="N32" s="128"/>
      <c r="O32" s="129"/>
      <c r="P32" s="124"/>
      <c r="Q32" s="125"/>
      <c r="R32" s="124"/>
      <c r="S32" s="125"/>
      <c r="T32" s="124"/>
      <c r="U32" s="125"/>
      <c r="V32" s="157"/>
      <c r="W32" s="129"/>
      <c r="X32" s="891"/>
      <c r="Y32" s="125"/>
      <c r="Z32" s="894"/>
      <c r="AA32" s="131"/>
      <c r="AB32" s="891"/>
      <c r="AC32" s="125"/>
      <c r="AD32" s="891"/>
      <c r="AE32" s="125"/>
      <c r="AF32" s="891"/>
      <c r="AG32" s="125"/>
      <c r="AH32" s="891"/>
      <c r="AI32" s="125"/>
      <c r="AJ32" s="123"/>
      <c r="AK32" s="125"/>
      <c r="AL32" s="123"/>
      <c r="AM32" s="125"/>
      <c r="AN32" s="127"/>
      <c r="AO32" s="129"/>
      <c r="AP32" s="900"/>
      <c r="AQ32" s="906"/>
      <c r="AR32" s="770"/>
      <c r="AS32" s="148"/>
      <c r="AT32" s="157"/>
      <c r="AU32" s="129"/>
      <c r="AV32" s="160">
        <f t="shared" si="1"/>
        <v>0</v>
      </c>
      <c r="AW32" s="162">
        <f t="shared" si="2"/>
        <v>0</v>
      </c>
      <c r="AX32" s="770"/>
      <c r="AY32" s="148"/>
      <c r="AZ32" s="160">
        <f t="shared" si="5"/>
        <v>0</v>
      </c>
      <c r="BA32" s="162">
        <f t="shared" si="6"/>
        <v>0</v>
      </c>
    </row>
    <row r="33" spans="1:53" s="120" customFormat="1" ht="15" thickBot="1">
      <c r="A33" s="779" t="s">
        <v>53</v>
      </c>
      <c r="B33" s="782"/>
      <c r="C33" s="166"/>
      <c r="D33" s="167"/>
      <c r="E33" s="168"/>
      <c r="F33" s="170"/>
      <c r="G33" s="168"/>
      <c r="H33" s="170"/>
      <c r="I33" s="168"/>
      <c r="J33" s="169"/>
      <c r="K33" s="168"/>
      <c r="L33" s="169"/>
      <c r="M33" s="168"/>
      <c r="N33" s="170"/>
      <c r="O33" s="168"/>
      <c r="P33" s="167"/>
      <c r="Q33" s="171"/>
      <c r="R33" s="167"/>
      <c r="S33" s="171"/>
      <c r="T33" s="167"/>
      <c r="U33" s="171"/>
      <c r="V33" s="169"/>
      <c r="W33" s="168"/>
      <c r="X33" s="893"/>
      <c r="Y33" s="171"/>
      <c r="Z33" s="895"/>
      <c r="AA33" s="896"/>
      <c r="AB33" s="893"/>
      <c r="AC33" s="171"/>
      <c r="AD33" s="893"/>
      <c r="AE33" s="171"/>
      <c r="AF33" s="893"/>
      <c r="AG33" s="171"/>
      <c r="AH33" s="893"/>
      <c r="AI33" s="171"/>
      <c r="AJ33" s="775"/>
      <c r="AK33" s="171"/>
      <c r="AL33" s="775"/>
      <c r="AM33" s="171"/>
      <c r="AN33" s="247"/>
      <c r="AO33" s="905"/>
      <c r="AP33" s="901"/>
      <c r="AQ33" s="907"/>
      <c r="AR33" s="771"/>
      <c r="AS33" s="386"/>
      <c r="AT33" s="169"/>
      <c r="AU33" s="168"/>
      <c r="AV33" s="160">
        <f t="shared" si="1"/>
        <v>0</v>
      </c>
      <c r="AW33" s="162">
        <f t="shared" si="2"/>
        <v>0</v>
      </c>
      <c r="AX33" s="771"/>
      <c r="AY33" s="386"/>
      <c r="AZ33" s="160">
        <f t="shared" si="5"/>
        <v>0</v>
      </c>
      <c r="BA33" s="162">
        <f t="shared" si="6"/>
        <v>0</v>
      </c>
    </row>
    <row r="34" spans="1:53" s="937" customFormat="1" ht="15" thickBot="1">
      <c r="A34" s="860" t="s">
        <v>54</v>
      </c>
      <c r="B34" s="908">
        <f aca="true" t="shared" si="7" ref="B34:AE34">SUM(B6:B33)</f>
        <v>42470943</v>
      </c>
      <c r="C34" s="909">
        <f t="shared" si="7"/>
        <v>46523392</v>
      </c>
      <c r="D34" s="910">
        <f t="shared" si="7"/>
        <v>3153597</v>
      </c>
      <c r="E34" s="911">
        <f t="shared" si="7"/>
        <v>3884449</v>
      </c>
      <c r="F34" s="912">
        <f t="shared" si="7"/>
        <v>17421870</v>
      </c>
      <c r="G34" s="913">
        <f t="shared" si="7"/>
        <v>16023108</v>
      </c>
      <c r="H34" s="914">
        <f t="shared" si="7"/>
        <v>49982566</v>
      </c>
      <c r="I34" s="915">
        <f t="shared" si="7"/>
        <v>61700599</v>
      </c>
      <c r="J34" s="916">
        <f t="shared" si="7"/>
        <v>6253506</v>
      </c>
      <c r="K34" s="913">
        <f t="shared" si="7"/>
        <v>5681274</v>
      </c>
      <c r="L34" s="916">
        <f t="shared" si="7"/>
        <v>17433603</v>
      </c>
      <c r="M34" s="915">
        <f t="shared" si="7"/>
        <v>17833276</v>
      </c>
      <c r="N34" s="914">
        <f t="shared" si="7"/>
        <v>1578532</v>
      </c>
      <c r="O34" s="915">
        <f t="shared" si="7"/>
        <v>1936940</v>
      </c>
      <c r="P34" s="914">
        <f t="shared" si="7"/>
        <v>183507</v>
      </c>
      <c r="Q34" s="915">
        <f t="shared" si="7"/>
        <v>429421</v>
      </c>
      <c r="R34" s="914">
        <f t="shared" si="7"/>
        <v>10383609</v>
      </c>
      <c r="S34" s="915">
        <f t="shared" si="7"/>
        <v>10414022</v>
      </c>
      <c r="T34" s="914">
        <f t="shared" si="7"/>
        <v>4247490</v>
      </c>
      <c r="U34" s="915">
        <f t="shared" si="7"/>
        <v>4024985</v>
      </c>
      <c r="V34" s="916">
        <f t="shared" si="7"/>
        <v>81769061</v>
      </c>
      <c r="W34" s="915">
        <f t="shared" si="7"/>
        <v>98421708</v>
      </c>
      <c r="X34" s="916">
        <f t="shared" si="7"/>
        <v>124086821</v>
      </c>
      <c r="Y34" s="915">
        <f t="shared" si="7"/>
        <v>149644086</v>
      </c>
      <c r="Z34" s="916">
        <f t="shared" si="7"/>
        <v>4560031</v>
      </c>
      <c r="AA34" s="915">
        <f t="shared" si="7"/>
        <v>6058725</v>
      </c>
      <c r="AB34" s="916">
        <f t="shared" si="7"/>
        <v>13421158</v>
      </c>
      <c r="AC34" s="915">
        <f t="shared" si="7"/>
        <v>11408964</v>
      </c>
      <c r="AD34" s="916">
        <f t="shared" si="7"/>
        <v>18240332</v>
      </c>
      <c r="AE34" s="915">
        <f t="shared" si="7"/>
        <v>22871681</v>
      </c>
      <c r="AF34" s="916">
        <f aca="true" t="shared" si="8" ref="AF34:AU34">SUM(AF6:AF33)</f>
        <v>31460583</v>
      </c>
      <c r="AG34" s="913">
        <f t="shared" si="8"/>
        <v>37768113</v>
      </c>
      <c r="AH34" s="916">
        <f t="shared" si="8"/>
        <v>14307354</v>
      </c>
      <c r="AI34" s="915">
        <f t="shared" si="8"/>
        <v>17690827</v>
      </c>
      <c r="AJ34" s="914">
        <f t="shared" si="8"/>
        <v>42446786</v>
      </c>
      <c r="AK34" s="915">
        <f t="shared" si="8"/>
        <v>31271104</v>
      </c>
      <c r="AL34" s="917">
        <f t="shared" si="8"/>
        <v>1330705</v>
      </c>
      <c r="AM34" s="915">
        <f t="shared" si="8"/>
        <v>1294366</v>
      </c>
      <c r="AN34" s="917">
        <f t="shared" si="8"/>
        <v>79595505</v>
      </c>
      <c r="AO34" s="915">
        <f t="shared" si="8"/>
        <v>95261421</v>
      </c>
      <c r="AP34" s="918">
        <f t="shared" si="8"/>
        <v>3816033</v>
      </c>
      <c r="AQ34" s="915">
        <f t="shared" si="8"/>
        <v>5688345</v>
      </c>
      <c r="AR34" s="918">
        <f t="shared" si="8"/>
        <v>8599180</v>
      </c>
      <c r="AS34" s="915">
        <f t="shared" si="8"/>
        <v>11292874</v>
      </c>
      <c r="AT34" s="918">
        <f t="shared" si="8"/>
        <v>28919524</v>
      </c>
      <c r="AU34" s="915">
        <f t="shared" si="8"/>
        <v>25123810</v>
      </c>
      <c r="AV34" s="919">
        <f>SUM(B34+D34+F34+H34+J34+L34+N34+P34+R34+T34+V34+X34+Z34+AB34+AD34+AF34+AH34+AJ34+AL34+AN34+AP34+AR34+AT34)</f>
        <v>605662296</v>
      </c>
      <c r="AW34" s="920">
        <f>SUM(C34+E34+G34+I34+K34+M34+O34+Q34+S34+U34+W34+Y34+AA34+AC34+AE34+AG34+AI34+AK34+AM34+AO34+AQ34+AS34+AU34)</f>
        <v>682247490</v>
      </c>
      <c r="AX34" s="921">
        <f>SUM(AX6:AX33)</f>
        <v>1428069460</v>
      </c>
      <c r="AY34" s="922">
        <f>SUM(AY6:AY33)</f>
        <v>1666947795</v>
      </c>
      <c r="AZ34" s="919">
        <f>AV34+AX34</f>
        <v>2033731756</v>
      </c>
      <c r="BA34" s="920">
        <f>AW34+AY34</f>
        <v>2349195285</v>
      </c>
    </row>
    <row r="35" spans="1:53" s="120" customFormat="1" ht="15" thickBot="1">
      <c r="A35" s="552" t="s">
        <v>55</v>
      </c>
      <c r="B35" s="783"/>
      <c r="C35" s="554"/>
      <c r="D35" s="551"/>
      <c r="E35" s="547"/>
      <c r="F35" s="549"/>
      <c r="G35" s="550"/>
      <c r="H35" s="182"/>
      <c r="I35" s="181"/>
      <c r="J35" s="889"/>
      <c r="K35" s="550"/>
      <c r="L35" s="182"/>
      <c r="M35" s="181"/>
      <c r="N35" s="182"/>
      <c r="O35" s="181"/>
      <c r="P35" s="179"/>
      <c r="Q35" s="180"/>
      <c r="R35" s="179"/>
      <c r="S35" s="180"/>
      <c r="T35" s="179"/>
      <c r="U35" s="180"/>
      <c r="V35" s="182"/>
      <c r="W35" s="181"/>
      <c r="X35" s="179"/>
      <c r="Y35" s="180"/>
      <c r="Z35" s="179"/>
      <c r="AA35" s="180"/>
      <c r="AB35" s="179"/>
      <c r="AC35" s="180"/>
      <c r="AD35" s="179"/>
      <c r="AE35" s="180"/>
      <c r="AF35" s="179"/>
      <c r="AG35" s="180"/>
      <c r="AH35" s="179"/>
      <c r="AI35" s="180"/>
      <c r="AJ35" s="778"/>
      <c r="AK35" s="180"/>
      <c r="AL35" s="776"/>
      <c r="AM35" s="899"/>
      <c r="AN35" s="769"/>
      <c r="AO35" s="181"/>
      <c r="AP35" s="182"/>
      <c r="AQ35" s="181"/>
      <c r="AR35" s="182"/>
      <c r="AS35" s="181"/>
      <c r="AT35" s="182"/>
      <c r="AU35" s="181"/>
      <c r="AV35" s="183"/>
      <c r="AW35" s="184"/>
      <c r="AX35" s="772"/>
      <c r="AY35" s="548"/>
      <c r="AZ35" s="183"/>
      <c r="BA35" s="184"/>
    </row>
    <row r="36" spans="1:53" s="937" customFormat="1" ht="15" thickBot="1">
      <c r="A36" s="923" t="s">
        <v>56</v>
      </c>
      <c r="B36" s="939">
        <f aca="true" t="shared" si="9" ref="B36:AG36">B34</f>
        <v>42470943</v>
      </c>
      <c r="C36" s="940">
        <f t="shared" si="9"/>
        <v>46523392</v>
      </c>
      <c r="D36" s="941">
        <f t="shared" si="9"/>
        <v>3153597</v>
      </c>
      <c r="E36" s="942">
        <f t="shared" si="9"/>
        <v>3884449</v>
      </c>
      <c r="F36" s="930">
        <f t="shared" si="9"/>
        <v>17421870</v>
      </c>
      <c r="G36" s="931">
        <f t="shared" si="9"/>
        <v>16023108</v>
      </c>
      <c r="H36" s="943">
        <f t="shared" si="9"/>
        <v>49982566</v>
      </c>
      <c r="I36" s="925">
        <f t="shared" si="9"/>
        <v>61700599</v>
      </c>
      <c r="J36" s="919">
        <f t="shared" si="9"/>
        <v>6253506</v>
      </c>
      <c r="K36" s="931">
        <f t="shared" si="9"/>
        <v>5681274</v>
      </c>
      <c r="L36" s="943">
        <f t="shared" si="9"/>
        <v>17433603</v>
      </c>
      <c r="M36" s="925">
        <f t="shared" si="9"/>
        <v>17833276</v>
      </c>
      <c r="N36" s="943">
        <f t="shared" si="9"/>
        <v>1578532</v>
      </c>
      <c r="O36" s="925">
        <f t="shared" si="9"/>
        <v>1936940</v>
      </c>
      <c r="P36" s="943">
        <f t="shared" si="9"/>
        <v>183507</v>
      </c>
      <c r="Q36" s="925">
        <f t="shared" si="9"/>
        <v>429421</v>
      </c>
      <c r="R36" s="943">
        <f t="shared" si="9"/>
        <v>10383609</v>
      </c>
      <c r="S36" s="925">
        <f t="shared" si="9"/>
        <v>10414022</v>
      </c>
      <c r="T36" s="943">
        <f t="shared" si="9"/>
        <v>4247490</v>
      </c>
      <c r="U36" s="925">
        <f t="shared" si="9"/>
        <v>4024985</v>
      </c>
      <c r="V36" s="943">
        <f t="shared" si="9"/>
        <v>81769061</v>
      </c>
      <c r="W36" s="925">
        <f t="shared" si="9"/>
        <v>98421708</v>
      </c>
      <c r="X36" s="943">
        <v>125419812</v>
      </c>
      <c r="Y36" s="925">
        <v>151351253</v>
      </c>
      <c r="Z36" s="943">
        <f t="shared" si="9"/>
        <v>4560031</v>
      </c>
      <c r="AA36" s="925">
        <f t="shared" si="9"/>
        <v>6058725</v>
      </c>
      <c r="AB36" s="943">
        <f t="shared" si="9"/>
        <v>13421158</v>
      </c>
      <c r="AC36" s="925">
        <f t="shared" si="9"/>
        <v>11408964</v>
      </c>
      <c r="AD36" s="943">
        <f t="shared" si="9"/>
        <v>18240332</v>
      </c>
      <c r="AE36" s="925">
        <f t="shared" si="9"/>
        <v>22871681</v>
      </c>
      <c r="AF36" s="943">
        <f t="shared" si="9"/>
        <v>31460583</v>
      </c>
      <c r="AG36" s="925">
        <f t="shared" si="9"/>
        <v>37768113</v>
      </c>
      <c r="AH36" s="943">
        <f>AH34</f>
        <v>14307354</v>
      </c>
      <c r="AI36" s="925">
        <f>AI34</f>
        <v>17690827</v>
      </c>
      <c r="AJ36" s="944">
        <f>AJ34</f>
        <v>42446786</v>
      </c>
      <c r="AK36" s="925">
        <f>AK34</f>
        <v>31271104</v>
      </c>
      <c r="AL36" s="945"/>
      <c r="AM36" s="946"/>
      <c r="AN36" s="944">
        <f aca="true" t="shared" si="10" ref="AN36:AU36">AN34</f>
        <v>79595505</v>
      </c>
      <c r="AO36" s="925">
        <f t="shared" si="10"/>
        <v>95261421</v>
      </c>
      <c r="AP36" s="943">
        <f t="shared" si="10"/>
        <v>3816033</v>
      </c>
      <c r="AQ36" s="925">
        <f t="shared" si="10"/>
        <v>5688345</v>
      </c>
      <c r="AR36" s="943">
        <f t="shared" si="10"/>
        <v>8599180</v>
      </c>
      <c r="AS36" s="925">
        <f t="shared" si="10"/>
        <v>11292874</v>
      </c>
      <c r="AT36" s="943">
        <f t="shared" si="10"/>
        <v>28919524</v>
      </c>
      <c r="AU36" s="925">
        <f t="shared" si="10"/>
        <v>25123810</v>
      </c>
      <c r="AV36" s="924">
        <f>SUM(B36+D36+F36+H36+J36+L36+N36+P36+R36+T36+V36+X36+Z36+AB36+AD36+AF36+AH36+AJ36+AL36+AN36+AP36+AR36+AT36)</f>
        <v>605664582</v>
      </c>
      <c r="AW36" s="925">
        <f>SUM(C36+E36+G36+I36+K36+M36+O36+Q36+S36+U36+W36+Y36+AA36+AC36+AE36+AG36+AI36+AK36+AM36+AO36+AQ36+AS36+AU36)</f>
        <v>682660291</v>
      </c>
      <c r="AX36" s="919">
        <f>AX34</f>
        <v>1428069460</v>
      </c>
      <c r="AY36" s="931">
        <f>AY34</f>
        <v>1666947795</v>
      </c>
      <c r="AZ36" s="924">
        <f>AV36+AX36</f>
        <v>2033734042</v>
      </c>
      <c r="BA36" s="925">
        <f>AW36+AY36</f>
        <v>2349608086</v>
      </c>
    </row>
    <row r="37" spans="1:53" s="120" customFormat="1" ht="15" thickBot="1">
      <c r="A37" s="553" t="s">
        <v>57</v>
      </c>
      <c r="B37" s="783"/>
      <c r="C37" s="554"/>
      <c r="D37" s="551"/>
      <c r="E37" s="547"/>
      <c r="F37" s="549"/>
      <c r="G37" s="550"/>
      <c r="H37" s="141"/>
      <c r="I37" s="142"/>
      <c r="J37" s="889"/>
      <c r="K37" s="550"/>
      <c r="L37" s="141"/>
      <c r="M37" s="142"/>
      <c r="N37" s="141"/>
      <c r="O37" s="142"/>
      <c r="P37" s="163"/>
      <c r="Q37" s="185"/>
      <c r="R37" s="163"/>
      <c r="S37" s="185"/>
      <c r="T37" s="163"/>
      <c r="U37" s="185"/>
      <c r="V37" s="141"/>
      <c r="W37" s="142"/>
      <c r="X37" s="163"/>
      <c r="Y37" s="185"/>
      <c r="Z37" s="163"/>
      <c r="AA37" s="185"/>
      <c r="AB37" s="163"/>
      <c r="AC37" s="185"/>
      <c r="AD37" s="163"/>
      <c r="AE37" s="185"/>
      <c r="AF37" s="163"/>
      <c r="AG37" s="185"/>
      <c r="AH37" s="163"/>
      <c r="AI37" s="185"/>
      <c r="AJ37" s="381"/>
      <c r="AK37" s="290"/>
      <c r="AL37" s="382"/>
      <c r="AM37" s="383"/>
      <c r="AN37" s="141"/>
      <c r="AO37" s="142"/>
      <c r="AP37" s="141"/>
      <c r="AQ37" s="142"/>
      <c r="AR37" s="141"/>
      <c r="AS37" s="142"/>
      <c r="AT37" s="141"/>
      <c r="AU37" s="142"/>
      <c r="AV37" s="384"/>
      <c r="AW37" s="385"/>
      <c r="AX37" s="772"/>
      <c r="AY37" s="548"/>
      <c r="AZ37" s="384"/>
      <c r="BA37" s="385"/>
    </row>
    <row r="38" spans="1:58" s="937" customFormat="1" ht="15" thickBot="1">
      <c r="A38" s="860" t="s">
        <v>54</v>
      </c>
      <c r="B38" s="926">
        <f aca="true" t="shared" si="11" ref="B38:AG38">B36</f>
        <v>42470943</v>
      </c>
      <c r="C38" s="927">
        <f t="shared" si="11"/>
        <v>46523392</v>
      </c>
      <c r="D38" s="928">
        <f t="shared" si="11"/>
        <v>3153597</v>
      </c>
      <c r="E38" s="929">
        <f t="shared" si="11"/>
        <v>3884449</v>
      </c>
      <c r="F38" s="930">
        <f t="shared" si="11"/>
        <v>17421870</v>
      </c>
      <c r="G38" s="931">
        <f t="shared" si="11"/>
        <v>16023108</v>
      </c>
      <c r="H38" s="932">
        <f t="shared" si="11"/>
        <v>49982566</v>
      </c>
      <c r="I38" s="920">
        <f t="shared" si="11"/>
        <v>61700599</v>
      </c>
      <c r="J38" s="919">
        <f t="shared" si="11"/>
        <v>6253506</v>
      </c>
      <c r="K38" s="931">
        <f t="shared" si="11"/>
        <v>5681274</v>
      </c>
      <c r="L38" s="932">
        <f t="shared" si="11"/>
        <v>17433603</v>
      </c>
      <c r="M38" s="920">
        <f t="shared" si="11"/>
        <v>17833276</v>
      </c>
      <c r="N38" s="932">
        <f t="shared" si="11"/>
        <v>1578532</v>
      </c>
      <c r="O38" s="920">
        <f t="shared" si="11"/>
        <v>1936940</v>
      </c>
      <c r="P38" s="933">
        <f t="shared" si="11"/>
        <v>183507</v>
      </c>
      <c r="Q38" s="868">
        <f t="shared" si="11"/>
        <v>429421</v>
      </c>
      <c r="R38" s="933">
        <f t="shared" si="11"/>
        <v>10383609</v>
      </c>
      <c r="S38" s="868">
        <f t="shared" si="11"/>
        <v>10414022</v>
      </c>
      <c r="T38" s="933">
        <f t="shared" si="11"/>
        <v>4247490</v>
      </c>
      <c r="U38" s="868">
        <f t="shared" si="11"/>
        <v>4024985</v>
      </c>
      <c r="V38" s="932">
        <f t="shared" si="11"/>
        <v>81769061</v>
      </c>
      <c r="W38" s="920">
        <f t="shared" si="11"/>
        <v>98421708</v>
      </c>
      <c r="X38" s="933">
        <f t="shared" si="11"/>
        <v>125419812</v>
      </c>
      <c r="Y38" s="868">
        <f t="shared" si="11"/>
        <v>151351253</v>
      </c>
      <c r="Z38" s="933">
        <f t="shared" si="11"/>
        <v>4560031</v>
      </c>
      <c r="AA38" s="868">
        <f t="shared" si="11"/>
        <v>6058725</v>
      </c>
      <c r="AB38" s="933">
        <f t="shared" si="11"/>
        <v>13421158</v>
      </c>
      <c r="AC38" s="868">
        <f t="shared" si="11"/>
        <v>11408964</v>
      </c>
      <c r="AD38" s="933">
        <f t="shared" si="11"/>
        <v>18240332</v>
      </c>
      <c r="AE38" s="868">
        <f t="shared" si="11"/>
        <v>22871681</v>
      </c>
      <c r="AF38" s="933">
        <f t="shared" si="11"/>
        <v>31460583</v>
      </c>
      <c r="AG38" s="868">
        <f t="shared" si="11"/>
        <v>37768113</v>
      </c>
      <c r="AH38" s="933">
        <f aca="true" t="shared" si="12" ref="AH38:AU38">AH36</f>
        <v>14307354</v>
      </c>
      <c r="AI38" s="868">
        <f t="shared" si="12"/>
        <v>17690827</v>
      </c>
      <c r="AJ38" s="934">
        <f t="shared" si="12"/>
        <v>42446786</v>
      </c>
      <c r="AK38" s="935">
        <f t="shared" si="12"/>
        <v>31271104</v>
      </c>
      <c r="AL38" s="936">
        <f t="shared" si="12"/>
        <v>0</v>
      </c>
      <c r="AM38" s="935">
        <f t="shared" si="12"/>
        <v>0</v>
      </c>
      <c r="AN38" s="932">
        <f t="shared" si="12"/>
        <v>79595505</v>
      </c>
      <c r="AO38" s="920">
        <f t="shared" si="12"/>
        <v>95261421</v>
      </c>
      <c r="AP38" s="932">
        <f t="shared" si="12"/>
        <v>3816033</v>
      </c>
      <c r="AQ38" s="920">
        <f t="shared" si="12"/>
        <v>5688345</v>
      </c>
      <c r="AR38" s="932">
        <f t="shared" si="12"/>
        <v>8599180</v>
      </c>
      <c r="AS38" s="920">
        <f t="shared" si="12"/>
        <v>11292874</v>
      </c>
      <c r="AT38" s="932">
        <f t="shared" si="12"/>
        <v>28919524</v>
      </c>
      <c r="AU38" s="920">
        <f t="shared" si="12"/>
        <v>25123810</v>
      </c>
      <c r="AV38" s="919">
        <f>SUM(B38+D38+F38+H38+J38+L38+N38+P38+R38+T38+V38+X38+Z38+AB38+AD38+AF38+AH38+AJ38+AL38+AN38+AP38+AR38+AT38)</f>
        <v>605664582</v>
      </c>
      <c r="AW38" s="920">
        <f>SUM(C38+E38+G38+I38+K38+M38+O38+Q38+S38+U38+W38+Y38+AA38+AC38+AE38+AG38+AI38+AK38+AM38+AO38+AQ38+AS38+AU38)</f>
        <v>682660291</v>
      </c>
      <c r="AX38" s="919">
        <f>AX36</f>
        <v>1428069460</v>
      </c>
      <c r="AY38" s="931">
        <f>AY36</f>
        <v>1666947795</v>
      </c>
      <c r="AZ38" s="919">
        <f>AV38+AX38</f>
        <v>2033734042</v>
      </c>
      <c r="BA38" s="920">
        <f>AW38+AY38</f>
        <v>2349608086</v>
      </c>
      <c r="BE38" s="938"/>
      <c r="BF38" s="938"/>
    </row>
    <row r="39" spans="1:53" s="120" customFormat="1" ht="14.25">
      <c r="A39" s="104"/>
      <c r="E39" s="186"/>
      <c r="V39" s="186"/>
      <c r="W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</row>
  </sheetData>
  <sheetProtection/>
  <mergeCells count="29">
    <mergeCell ref="AL3:AM3"/>
    <mergeCell ref="AJ3:AK3"/>
    <mergeCell ref="AH3:AI3"/>
    <mergeCell ref="A1:AY1"/>
    <mergeCell ref="A2:AY2"/>
    <mergeCell ref="A3:A4"/>
    <mergeCell ref="AN3:AO3"/>
    <mergeCell ref="AF3:AG3"/>
    <mergeCell ref="AB3:AC3"/>
    <mergeCell ref="AD3:AE3"/>
    <mergeCell ref="AZ3:BA3"/>
    <mergeCell ref="AX3:AY3"/>
    <mergeCell ref="AV3:AW3"/>
    <mergeCell ref="AT3:AU3"/>
    <mergeCell ref="AP3:AQ3"/>
    <mergeCell ref="AR3:AS3"/>
    <mergeCell ref="Z3:AA3"/>
    <mergeCell ref="X3:Y3"/>
    <mergeCell ref="T3:U3"/>
    <mergeCell ref="V3:W3"/>
    <mergeCell ref="R3:S3"/>
    <mergeCell ref="P3:Q3"/>
    <mergeCell ref="B3:C3"/>
    <mergeCell ref="L3:M3"/>
    <mergeCell ref="N3:O3"/>
    <mergeCell ref="J3:K3"/>
    <mergeCell ref="D3:E3"/>
    <mergeCell ref="H3:I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W14"/>
  <sheetViews>
    <sheetView zoomScalePageLayoutView="0" workbookViewId="0" topLeftCell="A1">
      <pane xSplit="1" topLeftCell="AO1" activePane="topRight" state="frozen"/>
      <selection pane="topLeft" activeCell="A1" sqref="A1"/>
      <selection pane="topRight" activeCell="AT23" sqref="AT23"/>
    </sheetView>
  </sheetViews>
  <sheetFormatPr defaultColWidth="9.140625" defaultRowHeight="15"/>
  <cols>
    <col min="1" max="1" width="55.8515625" style="115" customWidth="1"/>
    <col min="2" max="2" width="11.421875" style="115" customWidth="1"/>
    <col min="3" max="3" width="10.28125" style="115" bestFit="1" customWidth="1"/>
    <col min="4" max="4" width="10.421875" style="115" bestFit="1" customWidth="1"/>
    <col min="5" max="6" width="10.421875" style="115" customWidth="1"/>
    <col min="7" max="8" width="11.421875" style="115" customWidth="1"/>
    <col min="9" max="9" width="11.57421875" style="115" bestFit="1" customWidth="1"/>
    <col min="10" max="10" width="11.57421875" style="115" customWidth="1"/>
    <col min="11" max="12" width="10.7109375" style="115" customWidth="1"/>
    <col min="13" max="13" width="10.28125" style="115" bestFit="1" customWidth="1"/>
    <col min="14" max="14" width="10.28125" style="115" customWidth="1"/>
    <col min="15" max="15" width="10.28125" style="115" bestFit="1" customWidth="1"/>
    <col min="16" max="17" width="11.57421875" style="115" bestFit="1" customWidth="1"/>
    <col min="18" max="18" width="11.57421875" style="115" customWidth="1"/>
    <col min="19" max="20" width="10.140625" style="115" customWidth="1"/>
    <col min="21" max="21" width="10.57421875" style="115" customWidth="1"/>
    <col min="22" max="22" width="10.421875" style="115" bestFit="1" customWidth="1"/>
    <col min="23" max="25" width="11.57421875" style="115" bestFit="1" customWidth="1"/>
    <col min="26" max="26" width="12.140625" style="115" customWidth="1"/>
    <col min="27" max="27" width="11.421875" style="115" customWidth="1"/>
    <col min="28" max="30" width="10.421875" style="115" bestFit="1" customWidth="1"/>
    <col min="31" max="31" width="11.57421875" style="115" bestFit="1" customWidth="1"/>
    <col min="32" max="34" width="10.421875" style="115" bestFit="1" customWidth="1"/>
    <col min="35" max="35" width="11.421875" style="115" customWidth="1"/>
    <col min="36" max="36" width="10.421875" style="115" bestFit="1" customWidth="1"/>
    <col min="37" max="37" width="10.28125" style="115" bestFit="1" customWidth="1"/>
    <col min="38" max="39" width="10.421875" style="115" bestFit="1" customWidth="1"/>
    <col min="40" max="41" width="11.57421875" style="115" bestFit="1" customWidth="1"/>
    <col min="42" max="49" width="10.421875" style="115" bestFit="1" customWidth="1"/>
    <col min="50" max="16384" width="9.140625" style="115" customWidth="1"/>
  </cols>
  <sheetData>
    <row r="1" spans="1:49" s="451" customFormat="1" ht="17.25" thickBot="1">
      <c r="A1" s="1068" t="s">
        <v>232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  <c r="Z1" s="1068"/>
      <c r="AA1" s="1068"/>
      <c r="AB1" s="1068"/>
      <c r="AC1" s="1068"/>
      <c r="AD1" s="1068"/>
      <c r="AE1" s="1068"/>
      <c r="AF1" s="1068"/>
      <c r="AG1" s="1068"/>
      <c r="AH1" s="1068"/>
      <c r="AI1" s="1068"/>
      <c r="AJ1" s="1068"/>
      <c r="AK1" s="1068"/>
      <c r="AL1" s="1068"/>
      <c r="AM1" s="1068"/>
      <c r="AN1" s="1068"/>
      <c r="AO1" s="1068"/>
      <c r="AP1" s="1068"/>
      <c r="AQ1" s="1068"/>
      <c r="AR1" s="1068"/>
      <c r="AS1" s="1068"/>
      <c r="AT1" s="1068"/>
      <c r="AU1" s="1068"/>
      <c r="AV1" s="1068"/>
      <c r="AW1" s="1068"/>
    </row>
    <row r="2" spans="1:49" ht="112.5" customHeight="1" thickBot="1">
      <c r="A2" s="1067" t="s">
        <v>0</v>
      </c>
      <c r="B2" s="1069" t="s">
        <v>117</v>
      </c>
      <c r="C2" s="1070"/>
      <c r="D2" s="1005" t="s">
        <v>118</v>
      </c>
      <c r="E2" s="1006"/>
      <c r="F2" s="1005" t="s">
        <v>119</v>
      </c>
      <c r="G2" s="1006"/>
      <c r="H2" s="1005" t="s">
        <v>120</v>
      </c>
      <c r="I2" s="1006"/>
      <c r="J2" s="1005" t="s">
        <v>121</v>
      </c>
      <c r="K2" s="1006"/>
      <c r="L2" s="1005" t="s">
        <v>122</v>
      </c>
      <c r="M2" s="1006"/>
      <c r="N2" s="1005" t="s">
        <v>123</v>
      </c>
      <c r="O2" s="1006"/>
      <c r="P2" s="1005" t="s">
        <v>124</v>
      </c>
      <c r="Q2" s="1006"/>
      <c r="R2" s="1005" t="s">
        <v>125</v>
      </c>
      <c r="S2" s="1006"/>
      <c r="T2" s="1005" t="s">
        <v>126</v>
      </c>
      <c r="U2" s="1006"/>
      <c r="V2" s="1071" t="s">
        <v>127</v>
      </c>
      <c r="W2" s="1006"/>
      <c r="X2" s="1005" t="s">
        <v>128</v>
      </c>
      <c r="Y2" s="1006"/>
      <c r="Z2" s="1005" t="s">
        <v>129</v>
      </c>
      <c r="AA2" s="1006"/>
      <c r="AB2" s="1005" t="s">
        <v>130</v>
      </c>
      <c r="AC2" s="1006"/>
      <c r="AD2" s="1005" t="s">
        <v>131</v>
      </c>
      <c r="AE2" s="1006"/>
      <c r="AF2" s="1005" t="s">
        <v>132</v>
      </c>
      <c r="AG2" s="1006"/>
      <c r="AH2" s="1005" t="s">
        <v>133</v>
      </c>
      <c r="AI2" s="1006"/>
      <c r="AJ2" s="1005" t="s">
        <v>134</v>
      </c>
      <c r="AK2" s="1006"/>
      <c r="AL2" s="1005" t="s">
        <v>135</v>
      </c>
      <c r="AM2" s="1006"/>
      <c r="AN2" s="1005" t="s">
        <v>136</v>
      </c>
      <c r="AO2" s="1006"/>
      <c r="AP2" s="1005" t="s">
        <v>137</v>
      </c>
      <c r="AQ2" s="1006"/>
      <c r="AR2" s="1005" t="s">
        <v>138</v>
      </c>
      <c r="AS2" s="1006"/>
      <c r="AT2" s="1005" t="s">
        <v>139</v>
      </c>
      <c r="AU2" s="1006"/>
      <c r="AV2" s="1072" t="s">
        <v>140</v>
      </c>
      <c r="AW2" s="1073"/>
    </row>
    <row r="3" spans="1:49" s="499" customFormat="1" ht="36.75" customHeight="1" thickBot="1">
      <c r="A3" s="1067"/>
      <c r="B3" s="555" t="s">
        <v>248</v>
      </c>
      <c r="C3" s="555" t="s">
        <v>249</v>
      </c>
      <c r="D3" s="555" t="s">
        <v>248</v>
      </c>
      <c r="E3" s="555" t="s">
        <v>249</v>
      </c>
      <c r="F3" s="555" t="s">
        <v>248</v>
      </c>
      <c r="G3" s="555" t="s">
        <v>249</v>
      </c>
      <c r="H3" s="555" t="s">
        <v>248</v>
      </c>
      <c r="I3" s="555" t="s">
        <v>249</v>
      </c>
      <c r="J3" s="555" t="s">
        <v>248</v>
      </c>
      <c r="K3" s="555" t="s">
        <v>249</v>
      </c>
      <c r="L3" s="555" t="s">
        <v>248</v>
      </c>
      <c r="M3" s="555" t="s">
        <v>249</v>
      </c>
      <c r="N3" s="555" t="s">
        <v>248</v>
      </c>
      <c r="O3" s="555" t="s">
        <v>249</v>
      </c>
      <c r="P3" s="555" t="s">
        <v>248</v>
      </c>
      <c r="Q3" s="555" t="s">
        <v>249</v>
      </c>
      <c r="R3" s="555" t="s">
        <v>248</v>
      </c>
      <c r="S3" s="555" t="s">
        <v>249</v>
      </c>
      <c r="T3" s="555" t="s">
        <v>248</v>
      </c>
      <c r="U3" s="555" t="s">
        <v>249</v>
      </c>
      <c r="V3" s="555" t="s">
        <v>248</v>
      </c>
      <c r="W3" s="555" t="s">
        <v>249</v>
      </c>
      <c r="X3" s="555" t="s">
        <v>248</v>
      </c>
      <c r="Y3" s="555" t="s">
        <v>249</v>
      </c>
      <c r="Z3" s="555" t="s">
        <v>248</v>
      </c>
      <c r="AA3" s="555" t="s">
        <v>249</v>
      </c>
      <c r="AB3" s="555" t="s">
        <v>248</v>
      </c>
      <c r="AC3" s="555" t="s">
        <v>249</v>
      </c>
      <c r="AD3" s="555" t="s">
        <v>248</v>
      </c>
      <c r="AE3" s="555" t="s">
        <v>249</v>
      </c>
      <c r="AF3" s="555" t="s">
        <v>248</v>
      </c>
      <c r="AG3" s="555" t="s">
        <v>249</v>
      </c>
      <c r="AH3" s="555" t="s">
        <v>248</v>
      </c>
      <c r="AI3" s="555" t="s">
        <v>249</v>
      </c>
      <c r="AJ3" s="555" t="s">
        <v>248</v>
      </c>
      <c r="AK3" s="555" t="s">
        <v>249</v>
      </c>
      <c r="AL3" s="555" t="s">
        <v>248</v>
      </c>
      <c r="AM3" s="555" t="s">
        <v>249</v>
      </c>
      <c r="AN3" s="555" t="s">
        <v>248</v>
      </c>
      <c r="AO3" s="555" t="s">
        <v>249</v>
      </c>
      <c r="AP3" s="555" t="s">
        <v>248</v>
      </c>
      <c r="AQ3" s="555" t="s">
        <v>249</v>
      </c>
      <c r="AR3" s="555" t="s">
        <v>248</v>
      </c>
      <c r="AS3" s="555" t="s">
        <v>249</v>
      </c>
      <c r="AT3" s="555" t="s">
        <v>248</v>
      </c>
      <c r="AU3" s="555" t="s">
        <v>249</v>
      </c>
      <c r="AV3" s="793" t="s">
        <v>248</v>
      </c>
      <c r="AW3" s="794" t="s">
        <v>249</v>
      </c>
    </row>
    <row r="4" spans="1:49" ht="16.5">
      <c r="A4" s="447" t="s">
        <v>222</v>
      </c>
      <c r="B4" s="784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87"/>
      <c r="U4" s="751"/>
      <c r="V4" s="752"/>
      <c r="W4" s="750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51"/>
      <c r="AO4" s="751"/>
      <c r="AP4" s="751"/>
      <c r="AQ4" s="751"/>
      <c r="AR4" s="751"/>
      <c r="AS4" s="751"/>
      <c r="AT4" s="751"/>
      <c r="AU4" s="751"/>
      <c r="AV4" s="791"/>
      <c r="AW4" s="792"/>
    </row>
    <row r="5" spans="1:49" ht="16.5">
      <c r="A5" s="442" t="s">
        <v>223</v>
      </c>
      <c r="B5" s="785">
        <v>682920</v>
      </c>
      <c r="C5" s="748">
        <v>682920</v>
      </c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88"/>
      <c r="U5" s="748"/>
      <c r="V5" s="753"/>
      <c r="W5" s="749"/>
      <c r="X5" s="748"/>
      <c r="Y5" s="748"/>
      <c r="Z5" s="748"/>
      <c r="AA5" s="748"/>
      <c r="AB5" s="748"/>
      <c r="AC5" s="748"/>
      <c r="AD5" s="748"/>
      <c r="AE5" s="748"/>
      <c r="AF5" s="748">
        <v>258784</v>
      </c>
      <c r="AG5" s="748">
        <v>258784</v>
      </c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89"/>
      <c r="AW5" s="790"/>
    </row>
    <row r="6" spans="1:49" ht="16.5">
      <c r="A6" s="442" t="s">
        <v>224</v>
      </c>
      <c r="B6" s="785">
        <v>2000028</v>
      </c>
      <c r="C6" s="748">
        <v>2000028</v>
      </c>
      <c r="D6" s="748">
        <v>3139879</v>
      </c>
      <c r="E6" s="754">
        <v>3969868</v>
      </c>
      <c r="F6" s="754"/>
      <c r="G6" s="748"/>
      <c r="H6" s="748">
        <v>10599550</v>
      </c>
      <c r="I6" s="748">
        <v>10599550</v>
      </c>
      <c r="J6" s="748">
        <v>2074442</v>
      </c>
      <c r="K6" s="748">
        <v>2074442</v>
      </c>
      <c r="L6" s="748">
        <v>1250000</v>
      </c>
      <c r="M6" s="748">
        <v>1250000</v>
      </c>
      <c r="N6" s="748">
        <v>8329217</v>
      </c>
      <c r="O6" s="748">
        <v>8329217</v>
      </c>
      <c r="P6" s="748">
        <v>10658765</v>
      </c>
      <c r="Q6" s="748">
        <v>10658765</v>
      </c>
      <c r="R6" s="748"/>
      <c r="S6" s="748"/>
      <c r="T6" s="788"/>
      <c r="U6" s="748"/>
      <c r="V6" s="753">
        <v>1687015</v>
      </c>
      <c r="W6" s="749">
        <v>1944058</v>
      </c>
      <c r="X6" s="748">
        <v>33897405</v>
      </c>
      <c r="Y6" s="748">
        <v>34195244</v>
      </c>
      <c r="Z6" s="748"/>
      <c r="AA6" s="748"/>
      <c r="AB6" s="748">
        <v>1300000</v>
      </c>
      <c r="AC6" s="748">
        <v>1300000</v>
      </c>
      <c r="AD6" s="748">
        <v>520363</v>
      </c>
      <c r="AE6" s="748">
        <v>520363</v>
      </c>
      <c r="AF6" s="748">
        <v>680913</v>
      </c>
      <c r="AG6" s="748">
        <v>680913</v>
      </c>
      <c r="AH6" s="748"/>
      <c r="AI6" s="748"/>
      <c r="AJ6" s="748">
        <v>3031592</v>
      </c>
      <c r="AK6" s="748">
        <v>3031592</v>
      </c>
      <c r="AL6" s="748"/>
      <c r="AM6" s="748"/>
      <c r="AN6" s="748"/>
      <c r="AO6" s="748"/>
      <c r="AP6" s="748">
        <v>682</v>
      </c>
      <c r="AQ6" s="748">
        <v>1053</v>
      </c>
      <c r="AR6" s="748">
        <v>1700000</v>
      </c>
      <c r="AS6" s="748">
        <v>2686056</v>
      </c>
      <c r="AT6" s="748"/>
      <c r="AU6" s="748"/>
      <c r="AV6" s="789"/>
      <c r="AW6" s="790"/>
    </row>
    <row r="7" spans="1:49" ht="16.5">
      <c r="A7" s="442" t="s">
        <v>225</v>
      </c>
      <c r="B7" s="785"/>
      <c r="C7" s="748"/>
      <c r="D7" s="748"/>
      <c r="E7" s="754"/>
      <c r="F7" s="754"/>
      <c r="G7" s="748"/>
      <c r="H7" s="748">
        <v>85070</v>
      </c>
      <c r="I7" s="748">
        <v>162605</v>
      </c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88"/>
      <c r="U7" s="748"/>
      <c r="V7" s="753">
        <v>500492</v>
      </c>
      <c r="W7" s="749"/>
      <c r="X7" s="748">
        <v>9864</v>
      </c>
      <c r="Y7" s="748">
        <v>117811</v>
      </c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748"/>
      <c r="AK7" s="748"/>
      <c r="AL7" s="748">
        <v>36325</v>
      </c>
      <c r="AM7" s="748">
        <v>35727</v>
      </c>
      <c r="AN7" s="748"/>
      <c r="AO7" s="748"/>
      <c r="AP7" s="748"/>
      <c r="AQ7" s="748"/>
      <c r="AR7" s="748"/>
      <c r="AS7" s="748"/>
      <c r="AT7" s="748"/>
      <c r="AU7" s="748">
        <v>259637</v>
      </c>
      <c r="AV7" s="789"/>
      <c r="AW7" s="790"/>
    </row>
    <row r="8" spans="1:49" ht="16.5">
      <c r="A8" s="442" t="s">
        <v>226</v>
      </c>
      <c r="B8" s="785"/>
      <c r="C8" s="748"/>
      <c r="D8" s="748"/>
      <c r="E8" s="754"/>
      <c r="F8" s="754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88"/>
      <c r="U8" s="748"/>
      <c r="V8" s="753"/>
      <c r="W8" s="749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89">
        <v>4715416</v>
      </c>
      <c r="AW8" s="790">
        <v>5029488</v>
      </c>
    </row>
    <row r="9" spans="1:49" ht="16.5">
      <c r="A9" s="442" t="s">
        <v>227</v>
      </c>
      <c r="B9" s="785"/>
      <c r="C9" s="748"/>
      <c r="D9" s="748"/>
      <c r="E9" s="754"/>
      <c r="F9" s="754"/>
      <c r="G9" s="748"/>
      <c r="H9" s="748"/>
      <c r="I9" s="748"/>
      <c r="J9" s="748"/>
      <c r="K9" s="748"/>
      <c r="L9" s="748"/>
      <c r="M9" s="748"/>
      <c r="N9" s="748"/>
      <c r="O9" s="748"/>
      <c r="P9" s="748"/>
      <c r="Q9" s="748"/>
      <c r="R9" s="748"/>
      <c r="S9" s="748"/>
      <c r="T9" s="788"/>
      <c r="U9" s="748"/>
      <c r="V9" s="753"/>
      <c r="W9" s="749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89"/>
      <c r="AW9" s="790"/>
    </row>
    <row r="10" spans="1:49" ht="16.5">
      <c r="A10" s="442" t="s">
        <v>228</v>
      </c>
      <c r="B10" s="785"/>
      <c r="C10" s="748"/>
      <c r="D10" s="748"/>
      <c r="E10" s="754"/>
      <c r="F10" s="754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88"/>
      <c r="U10" s="748"/>
      <c r="V10" s="753"/>
      <c r="W10" s="749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89"/>
      <c r="AW10" s="790"/>
    </row>
    <row r="11" spans="1:49" ht="16.5">
      <c r="A11" s="442" t="s">
        <v>229</v>
      </c>
      <c r="B11" s="785"/>
      <c r="C11" s="748"/>
      <c r="D11" s="748"/>
      <c r="E11" s="754"/>
      <c r="F11" s="754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88"/>
      <c r="U11" s="748"/>
      <c r="V11" s="753"/>
      <c r="W11" s="749"/>
      <c r="X11" s="748"/>
      <c r="Y11" s="748"/>
      <c r="Z11" s="748"/>
      <c r="AA11" s="748"/>
      <c r="AB11" s="748"/>
      <c r="AC11" s="748"/>
      <c r="AD11" s="748"/>
      <c r="AE11" s="748"/>
      <c r="AF11" s="748"/>
      <c r="AG11" s="748"/>
      <c r="AH11" s="748"/>
      <c r="AI11" s="748"/>
      <c r="AJ11" s="748"/>
      <c r="AK11" s="748"/>
      <c r="AL11" s="748"/>
      <c r="AM11" s="748"/>
      <c r="AN11" s="748"/>
      <c r="AO11" s="748"/>
      <c r="AP11" s="748"/>
      <c r="AQ11" s="748"/>
      <c r="AR11" s="748"/>
      <c r="AS11" s="748"/>
      <c r="AT11" s="748"/>
      <c r="AU11" s="748"/>
      <c r="AV11" s="789"/>
      <c r="AW11" s="790"/>
    </row>
    <row r="12" spans="1:49" ht="16.5">
      <c r="A12" s="442" t="s">
        <v>230</v>
      </c>
      <c r="B12" s="785"/>
      <c r="C12" s="748"/>
      <c r="D12" s="748"/>
      <c r="E12" s="754"/>
      <c r="F12" s="754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88"/>
      <c r="U12" s="748"/>
      <c r="V12" s="753"/>
      <c r="W12" s="749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89">
        <v>-308</v>
      </c>
      <c r="AW12" s="790">
        <v>-11524</v>
      </c>
    </row>
    <row r="13" spans="1:49" ht="16.5">
      <c r="A13" s="442" t="s">
        <v>231</v>
      </c>
      <c r="B13" s="785"/>
      <c r="C13" s="748"/>
      <c r="D13" s="748"/>
      <c r="E13" s="754"/>
      <c r="F13" s="754"/>
      <c r="G13" s="748"/>
      <c r="H13" s="748">
        <v>64123104</v>
      </c>
      <c r="I13" s="748">
        <v>72485663</v>
      </c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88"/>
      <c r="U13" s="748"/>
      <c r="V13" s="753">
        <v>9858344</v>
      </c>
      <c r="W13" s="749">
        <v>16134918</v>
      </c>
      <c r="X13" s="748">
        <v>2493309</v>
      </c>
      <c r="Y13" s="748">
        <v>12662916</v>
      </c>
      <c r="Z13" s="748"/>
      <c r="AA13" s="748"/>
      <c r="AB13" s="748"/>
      <c r="AC13" s="748"/>
      <c r="AD13" s="748">
        <v>9591170</v>
      </c>
      <c r="AE13" s="748">
        <v>12623899</v>
      </c>
      <c r="AF13" s="748">
        <v>14089</v>
      </c>
      <c r="AG13" s="748">
        <v>4927471</v>
      </c>
      <c r="AH13" s="748">
        <v>1571242</v>
      </c>
      <c r="AI13" s="748">
        <v>2209952</v>
      </c>
      <c r="AJ13" s="748"/>
      <c r="AK13" s="748"/>
      <c r="AL13" s="748">
        <v>1185942</v>
      </c>
      <c r="AM13" s="748">
        <v>1199810</v>
      </c>
      <c r="AN13" s="748">
        <v>36906647</v>
      </c>
      <c r="AO13" s="748">
        <v>44647810</v>
      </c>
      <c r="AP13" s="748">
        <v>3267603</v>
      </c>
      <c r="AQ13" s="748">
        <v>3424344</v>
      </c>
      <c r="AR13" s="748"/>
      <c r="AS13" s="748"/>
      <c r="AT13" s="748"/>
      <c r="AU13" s="748"/>
      <c r="AV13" s="789"/>
      <c r="AW13" s="790"/>
    </row>
    <row r="14" spans="1:49" s="541" customFormat="1" ht="15" thickBot="1">
      <c r="A14" s="538" t="s">
        <v>54</v>
      </c>
      <c r="B14" s="786">
        <f aca="true" t="shared" si="0" ref="B14:AW14">SUM(B4:B13)</f>
        <v>2682948</v>
      </c>
      <c r="C14" s="539">
        <f t="shared" si="0"/>
        <v>2682948</v>
      </c>
      <c r="D14" s="539">
        <f t="shared" si="0"/>
        <v>3139879</v>
      </c>
      <c r="E14" s="540">
        <f t="shared" si="0"/>
        <v>3969868</v>
      </c>
      <c r="F14" s="540">
        <f t="shared" si="0"/>
        <v>0</v>
      </c>
      <c r="G14" s="540">
        <f t="shared" si="0"/>
        <v>0</v>
      </c>
      <c r="H14" s="540">
        <f t="shared" si="0"/>
        <v>74807724</v>
      </c>
      <c r="I14" s="540">
        <f t="shared" si="0"/>
        <v>83247818</v>
      </c>
      <c r="J14" s="540">
        <f t="shared" si="0"/>
        <v>2074442</v>
      </c>
      <c r="K14" s="540">
        <f t="shared" si="0"/>
        <v>2074442</v>
      </c>
      <c r="L14" s="540">
        <f t="shared" si="0"/>
        <v>1250000</v>
      </c>
      <c r="M14" s="540">
        <f t="shared" si="0"/>
        <v>1250000</v>
      </c>
      <c r="N14" s="540">
        <f t="shared" si="0"/>
        <v>8329217</v>
      </c>
      <c r="O14" s="540">
        <f t="shared" si="0"/>
        <v>8329217</v>
      </c>
      <c r="P14" s="540">
        <f t="shared" si="0"/>
        <v>10658765</v>
      </c>
      <c r="Q14" s="540">
        <f t="shared" si="0"/>
        <v>10658765</v>
      </c>
      <c r="R14" s="540">
        <f t="shared" si="0"/>
        <v>0</v>
      </c>
      <c r="S14" s="540">
        <f t="shared" si="0"/>
        <v>0</v>
      </c>
      <c r="T14" s="540">
        <f t="shared" si="0"/>
        <v>0</v>
      </c>
      <c r="U14" s="540">
        <f t="shared" si="0"/>
        <v>0</v>
      </c>
      <c r="V14" s="540">
        <f t="shared" si="0"/>
        <v>12045851</v>
      </c>
      <c r="W14" s="540">
        <f t="shared" si="0"/>
        <v>18078976</v>
      </c>
      <c r="X14" s="540">
        <f t="shared" si="0"/>
        <v>36400578</v>
      </c>
      <c r="Y14" s="540">
        <f t="shared" si="0"/>
        <v>46975971</v>
      </c>
      <c r="Z14" s="540">
        <f t="shared" si="0"/>
        <v>0</v>
      </c>
      <c r="AA14" s="540">
        <f t="shared" si="0"/>
        <v>0</v>
      </c>
      <c r="AB14" s="540">
        <f t="shared" si="0"/>
        <v>1300000</v>
      </c>
      <c r="AC14" s="540">
        <f t="shared" si="0"/>
        <v>1300000</v>
      </c>
      <c r="AD14" s="540">
        <f t="shared" si="0"/>
        <v>10111533</v>
      </c>
      <c r="AE14" s="540">
        <f t="shared" si="0"/>
        <v>13144262</v>
      </c>
      <c r="AF14" s="540">
        <f t="shared" si="0"/>
        <v>953786</v>
      </c>
      <c r="AG14" s="540">
        <f t="shared" si="0"/>
        <v>5867168</v>
      </c>
      <c r="AH14" s="540">
        <f t="shared" si="0"/>
        <v>1571242</v>
      </c>
      <c r="AI14" s="540">
        <f t="shared" si="0"/>
        <v>2209952</v>
      </c>
      <c r="AJ14" s="540">
        <f t="shared" si="0"/>
        <v>3031592</v>
      </c>
      <c r="AK14" s="540">
        <f t="shared" si="0"/>
        <v>3031592</v>
      </c>
      <c r="AL14" s="540">
        <f t="shared" si="0"/>
        <v>1222267</v>
      </c>
      <c r="AM14" s="540">
        <f t="shared" si="0"/>
        <v>1235537</v>
      </c>
      <c r="AN14" s="540">
        <f t="shared" si="0"/>
        <v>36906647</v>
      </c>
      <c r="AO14" s="540">
        <f t="shared" si="0"/>
        <v>44647810</v>
      </c>
      <c r="AP14" s="540">
        <f t="shared" si="0"/>
        <v>3268285</v>
      </c>
      <c r="AQ14" s="540">
        <f t="shared" si="0"/>
        <v>3425397</v>
      </c>
      <c r="AR14" s="540">
        <f t="shared" si="0"/>
        <v>1700000</v>
      </c>
      <c r="AS14" s="540">
        <f t="shared" si="0"/>
        <v>2686056</v>
      </c>
      <c r="AT14" s="540">
        <f t="shared" si="0"/>
        <v>0</v>
      </c>
      <c r="AU14" s="540">
        <f t="shared" si="0"/>
        <v>259637</v>
      </c>
      <c r="AV14" s="540">
        <f t="shared" si="0"/>
        <v>4715108</v>
      </c>
      <c r="AW14" s="540">
        <f t="shared" si="0"/>
        <v>5017964</v>
      </c>
    </row>
  </sheetData>
  <sheetProtection/>
  <mergeCells count="26">
    <mergeCell ref="AV2:AW2"/>
    <mergeCell ref="AT2:AU2"/>
    <mergeCell ref="AR2:AS2"/>
    <mergeCell ref="AP2:AQ2"/>
    <mergeCell ref="AD2:AE2"/>
    <mergeCell ref="AN2:AO2"/>
    <mergeCell ref="AL2:AM2"/>
    <mergeCell ref="AJ2:AK2"/>
    <mergeCell ref="AH2:AI2"/>
    <mergeCell ref="AF2:AG2"/>
    <mergeCell ref="R2:S2"/>
    <mergeCell ref="T2:U2"/>
    <mergeCell ref="V2:W2"/>
    <mergeCell ref="X2:Y2"/>
    <mergeCell ref="Z2:AA2"/>
    <mergeCell ref="AB2:AC2"/>
    <mergeCell ref="A2:A3"/>
    <mergeCell ref="A1:AW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A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G44" sqref="CG44"/>
    </sheetView>
  </sheetViews>
  <sheetFormatPr defaultColWidth="9.140625" defaultRowHeight="15"/>
  <cols>
    <col min="1" max="1" width="52.140625" style="225" customWidth="1"/>
    <col min="2" max="2" width="11.28125" style="156" bestFit="1" customWidth="1"/>
    <col min="3" max="3" width="11.140625" style="156" bestFit="1" customWidth="1"/>
    <col min="4" max="4" width="9.00390625" style="156" bestFit="1" customWidth="1"/>
    <col min="5" max="5" width="11.28125" style="156" customWidth="1"/>
    <col min="6" max="6" width="11.8515625" style="156" bestFit="1" customWidth="1"/>
    <col min="7" max="7" width="14.421875" style="156" bestFit="1" customWidth="1"/>
    <col min="8" max="9" width="10.00390625" style="156" bestFit="1" customWidth="1"/>
    <col min="10" max="10" width="8.7109375" style="156" bestFit="1" customWidth="1"/>
    <col min="11" max="11" width="11.57421875" style="156" customWidth="1"/>
    <col min="12" max="12" width="10.8515625" style="156" customWidth="1"/>
    <col min="13" max="13" width="10.28125" style="291" bestFit="1" customWidth="1"/>
    <col min="14" max="14" width="12.57421875" style="156" customWidth="1"/>
    <col min="15" max="15" width="11.8515625" style="156" bestFit="1" customWidth="1"/>
    <col min="16" max="16" width="14.421875" style="156" bestFit="1" customWidth="1"/>
    <col min="17" max="17" width="11.421875" style="156" customWidth="1"/>
    <col min="18" max="18" width="11.8515625" style="156" bestFit="1" customWidth="1"/>
    <col min="19" max="19" width="14.421875" style="156" bestFit="1" customWidth="1"/>
    <col min="20" max="20" width="11.00390625" style="156" customWidth="1"/>
    <col min="21" max="21" width="11.8515625" style="156" bestFit="1" customWidth="1"/>
    <col min="22" max="22" width="14.421875" style="156" bestFit="1" customWidth="1"/>
    <col min="23" max="23" width="10.00390625" style="156" bestFit="1" customWidth="1"/>
    <col min="24" max="24" width="12.140625" style="156" bestFit="1" customWidth="1"/>
    <col min="25" max="25" width="14.421875" style="156" bestFit="1" customWidth="1"/>
    <col min="26" max="26" width="11.140625" style="156" customWidth="1"/>
    <col min="27" max="27" width="11.8515625" style="156" bestFit="1" customWidth="1"/>
    <col min="28" max="28" width="12.8515625" style="156" customWidth="1"/>
    <col min="29" max="29" width="11.421875" style="156" customWidth="1"/>
    <col min="30" max="30" width="11.140625" style="156" customWidth="1"/>
    <col min="31" max="31" width="12.140625" style="156" customWidth="1"/>
    <col min="32" max="32" width="12.8515625" style="156" customWidth="1"/>
    <col min="33" max="33" width="11.8515625" style="156" bestFit="1" customWidth="1"/>
    <col min="34" max="34" width="14.421875" style="156" bestFit="1" customWidth="1"/>
    <col min="35" max="35" width="11.7109375" style="156" customWidth="1"/>
    <col min="36" max="36" width="11.8515625" style="156" bestFit="1" customWidth="1"/>
    <col min="37" max="37" width="13.140625" style="156" customWidth="1"/>
    <col min="38" max="38" width="12.140625" style="156" customWidth="1"/>
    <col min="39" max="39" width="11.8515625" style="156" bestFit="1" customWidth="1"/>
    <col min="40" max="40" width="12.7109375" style="156" customWidth="1"/>
    <col min="41" max="41" width="12.28125" style="156" customWidth="1"/>
    <col min="42" max="42" width="11.8515625" style="156" bestFit="1" customWidth="1"/>
    <col min="43" max="43" width="13.00390625" style="156" customWidth="1"/>
    <col min="44" max="44" width="10.28125" style="156" bestFit="1" customWidth="1"/>
    <col min="45" max="45" width="11.8515625" style="156" bestFit="1" customWidth="1"/>
    <col min="46" max="46" width="14.421875" style="156" bestFit="1" customWidth="1"/>
    <col min="47" max="47" width="12.00390625" style="156" customWidth="1"/>
    <col min="48" max="48" width="11.8515625" style="156" bestFit="1" customWidth="1"/>
    <col min="49" max="49" width="14.421875" style="156" bestFit="1" customWidth="1"/>
    <col min="50" max="50" width="13.57421875" style="156" customWidth="1"/>
    <col min="51" max="51" width="11.8515625" style="156" bestFit="1" customWidth="1"/>
    <col min="52" max="52" width="14.421875" style="156" bestFit="1" customWidth="1"/>
    <col min="53" max="53" width="11.140625" style="156" customWidth="1"/>
    <col min="54" max="54" width="11.8515625" style="156" bestFit="1" customWidth="1"/>
    <col min="55" max="55" width="12.8515625" style="156" customWidth="1"/>
    <col min="56" max="56" width="13.57421875" style="156" customWidth="1"/>
    <col min="57" max="57" width="11.8515625" style="156" bestFit="1" customWidth="1"/>
    <col min="58" max="58" width="13.7109375" style="156" customWidth="1"/>
    <col min="59" max="59" width="11.421875" style="156" customWidth="1"/>
    <col min="60" max="60" width="11.8515625" style="156" bestFit="1" customWidth="1"/>
    <col min="61" max="61" width="14.421875" style="156" bestFit="1" customWidth="1"/>
    <col min="62" max="62" width="12.7109375" style="156" customWidth="1"/>
    <col min="63" max="63" width="11.8515625" style="156" bestFit="1" customWidth="1"/>
    <col min="64" max="64" width="14.421875" style="156" bestFit="1" customWidth="1"/>
    <col min="65" max="65" width="12.57421875" style="156" customWidth="1"/>
    <col min="66" max="66" width="11.8515625" style="156" bestFit="1" customWidth="1"/>
    <col min="67" max="67" width="14.421875" style="156" bestFit="1" customWidth="1"/>
    <col min="68" max="68" width="14.28125" style="156" customWidth="1"/>
    <col min="69" max="69" width="11.8515625" style="156" bestFit="1" customWidth="1"/>
    <col min="70" max="70" width="12.57421875" style="156" customWidth="1"/>
    <col min="71" max="71" width="12.140625" style="156" customWidth="1"/>
    <col min="72" max="72" width="11.8515625" style="156" bestFit="1" customWidth="1"/>
    <col min="73" max="73" width="14.421875" style="156" bestFit="1" customWidth="1"/>
    <col min="74" max="74" width="13.57421875" style="156" customWidth="1"/>
    <col min="75" max="75" width="11.8515625" style="156" bestFit="1" customWidth="1"/>
    <col min="76" max="76" width="11.57421875" style="156" bestFit="1" customWidth="1"/>
    <col min="77" max="77" width="13.00390625" style="156" customWidth="1"/>
    <col min="78" max="78" width="13.140625" style="156" customWidth="1"/>
    <col min="79" max="79" width="10.140625" style="156" bestFit="1" customWidth="1"/>
    <col min="80" max="16384" width="9.140625" style="225" customWidth="1"/>
  </cols>
  <sheetData>
    <row r="1" spans="1:78" ht="18">
      <c r="A1" s="1083" t="s">
        <v>252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083"/>
      <c r="S1" s="1083"/>
      <c r="T1" s="1083"/>
      <c r="U1" s="1083"/>
      <c r="V1" s="1083"/>
      <c r="W1" s="1083"/>
      <c r="X1" s="1083"/>
      <c r="Y1" s="1083"/>
      <c r="Z1" s="1083"/>
      <c r="AA1" s="1083"/>
      <c r="AB1" s="1083"/>
      <c r="AC1" s="1083"/>
      <c r="AD1" s="1083"/>
      <c r="AE1" s="1083"/>
      <c r="AF1" s="1083"/>
      <c r="AG1" s="1083"/>
      <c r="AH1" s="1083"/>
      <c r="AI1" s="1083"/>
      <c r="AJ1" s="1083"/>
      <c r="AK1" s="1083"/>
      <c r="AL1" s="1083"/>
      <c r="AM1" s="1083"/>
      <c r="AN1" s="1083"/>
      <c r="AO1" s="1083"/>
      <c r="AP1" s="1083"/>
      <c r="AQ1" s="1083"/>
      <c r="AR1" s="1083"/>
      <c r="AS1" s="1083"/>
      <c r="AT1" s="1083"/>
      <c r="AU1" s="1083"/>
      <c r="AV1" s="1083"/>
      <c r="AW1" s="1083"/>
      <c r="AX1" s="1083"/>
      <c r="AY1" s="1083"/>
      <c r="AZ1" s="1083"/>
      <c r="BA1" s="1083"/>
      <c r="BB1" s="1083"/>
      <c r="BC1" s="1083"/>
      <c r="BD1" s="1083"/>
      <c r="BE1" s="1083"/>
      <c r="BF1" s="1083"/>
      <c r="BG1" s="1083"/>
      <c r="BH1" s="1083"/>
      <c r="BI1" s="1083"/>
      <c r="BJ1" s="1083"/>
      <c r="BK1" s="1083"/>
      <c r="BL1" s="1083"/>
      <c r="BM1" s="1083"/>
      <c r="BN1" s="1083"/>
      <c r="BO1" s="1083"/>
      <c r="BP1" s="1083"/>
      <c r="BQ1" s="1083"/>
      <c r="BR1" s="1083"/>
      <c r="BS1" s="1083"/>
      <c r="BT1" s="1083"/>
      <c r="BU1" s="1083"/>
      <c r="BV1" s="1083"/>
      <c r="BW1" s="1083"/>
      <c r="BX1" s="1083"/>
      <c r="BY1" s="1083"/>
      <c r="BZ1" s="1083"/>
    </row>
    <row r="2" spans="1:78" ht="17.25" thickBot="1">
      <c r="A2" s="1084" t="s">
        <v>142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  <c r="Y2" s="1084"/>
      <c r="Z2" s="1084"/>
      <c r="AA2" s="1084"/>
      <c r="AB2" s="1084"/>
      <c r="AC2" s="1084"/>
      <c r="AD2" s="1084"/>
      <c r="AE2" s="1084"/>
      <c r="AF2" s="1084"/>
      <c r="AG2" s="1084"/>
      <c r="AH2" s="1084"/>
      <c r="AI2" s="1084"/>
      <c r="AJ2" s="1084"/>
      <c r="AK2" s="1084"/>
      <c r="AL2" s="1084"/>
      <c r="AM2" s="1084"/>
      <c r="AN2" s="1084"/>
      <c r="AO2" s="1084"/>
      <c r="AP2" s="1084"/>
      <c r="AQ2" s="1084"/>
      <c r="AR2" s="1084"/>
      <c r="AS2" s="1084"/>
      <c r="AT2" s="1084"/>
      <c r="AU2" s="1084"/>
      <c r="AV2" s="1084"/>
      <c r="AW2" s="1084"/>
      <c r="AX2" s="1084"/>
      <c r="AY2" s="1084"/>
      <c r="AZ2" s="1084"/>
      <c r="BA2" s="1084"/>
      <c r="BB2" s="1084"/>
      <c r="BC2" s="1084"/>
      <c r="BD2" s="1084"/>
      <c r="BE2" s="1084"/>
      <c r="BF2" s="1084"/>
      <c r="BG2" s="1084"/>
      <c r="BH2" s="1084"/>
      <c r="BI2" s="1084"/>
      <c r="BJ2" s="1084"/>
      <c r="BK2" s="1084"/>
      <c r="BL2" s="1084"/>
      <c r="BM2" s="1084"/>
      <c r="BN2" s="1084"/>
      <c r="BO2" s="1084"/>
      <c r="BP2" s="1084"/>
      <c r="BQ2" s="1084"/>
      <c r="BR2" s="1084"/>
      <c r="BS2" s="1084"/>
      <c r="BT2" s="1084"/>
      <c r="BU2" s="1084"/>
      <c r="BV2" s="1084"/>
      <c r="BW2" s="1084"/>
      <c r="BX2" s="1084"/>
      <c r="BY2" s="1084"/>
      <c r="BZ2" s="1084"/>
    </row>
    <row r="3" spans="1:79" s="238" customFormat="1" ht="31.5" customHeight="1">
      <c r="A3" s="324"/>
      <c r="B3" s="1085" t="s">
        <v>117</v>
      </c>
      <c r="C3" s="1086"/>
      <c r="D3" s="1087"/>
      <c r="E3" s="1081" t="s">
        <v>118</v>
      </c>
      <c r="F3" s="1075"/>
      <c r="G3" s="1076"/>
      <c r="H3" s="1081" t="s">
        <v>119</v>
      </c>
      <c r="I3" s="1075"/>
      <c r="J3" s="1076"/>
      <c r="K3" s="1081" t="s">
        <v>120</v>
      </c>
      <c r="L3" s="1075"/>
      <c r="M3" s="1076"/>
      <c r="N3" s="1081" t="s">
        <v>121</v>
      </c>
      <c r="O3" s="1075"/>
      <c r="P3" s="1076"/>
      <c r="Q3" s="1081" t="s">
        <v>122</v>
      </c>
      <c r="R3" s="1075"/>
      <c r="S3" s="1076"/>
      <c r="T3" s="1074" t="s">
        <v>123</v>
      </c>
      <c r="U3" s="1075"/>
      <c r="V3" s="1076"/>
      <c r="W3" s="1081" t="s">
        <v>124</v>
      </c>
      <c r="X3" s="1075"/>
      <c r="Y3" s="1076"/>
      <c r="Z3" s="1081" t="s">
        <v>125</v>
      </c>
      <c r="AA3" s="1075"/>
      <c r="AB3" s="1076"/>
      <c r="AC3" s="1081" t="s">
        <v>126</v>
      </c>
      <c r="AD3" s="1075"/>
      <c r="AE3" s="1076"/>
      <c r="AF3" s="1081" t="s">
        <v>127</v>
      </c>
      <c r="AG3" s="1075"/>
      <c r="AH3" s="1076"/>
      <c r="AI3" s="1081" t="s">
        <v>128</v>
      </c>
      <c r="AJ3" s="1075"/>
      <c r="AK3" s="1076"/>
      <c r="AL3" s="1081" t="s">
        <v>129</v>
      </c>
      <c r="AM3" s="1075"/>
      <c r="AN3" s="1076"/>
      <c r="AO3" s="1081" t="s">
        <v>130</v>
      </c>
      <c r="AP3" s="1075"/>
      <c r="AQ3" s="1076"/>
      <c r="AR3" s="1077" t="s">
        <v>131</v>
      </c>
      <c r="AS3" s="1078"/>
      <c r="AT3" s="1079"/>
      <c r="AU3" s="1081" t="s">
        <v>132</v>
      </c>
      <c r="AV3" s="1075"/>
      <c r="AW3" s="1076"/>
      <c r="AX3" s="1081" t="s">
        <v>133</v>
      </c>
      <c r="AY3" s="1075"/>
      <c r="AZ3" s="1076"/>
      <c r="BA3" s="1081" t="s">
        <v>134</v>
      </c>
      <c r="BB3" s="1075"/>
      <c r="BC3" s="1076"/>
      <c r="BD3" s="1077" t="s">
        <v>135</v>
      </c>
      <c r="BE3" s="1078"/>
      <c r="BF3" s="1079"/>
      <c r="BG3" s="1081" t="s">
        <v>136</v>
      </c>
      <c r="BH3" s="1075"/>
      <c r="BI3" s="1076"/>
      <c r="BJ3" s="1081" t="s">
        <v>137</v>
      </c>
      <c r="BK3" s="1075"/>
      <c r="BL3" s="1076"/>
      <c r="BM3" s="1081" t="s">
        <v>138</v>
      </c>
      <c r="BN3" s="1075"/>
      <c r="BO3" s="1076"/>
      <c r="BP3" s="1081" t="s">
        <v>139</v>
      </c>
      <c r="BQ3" s="1075"/>
      <c r="BR3" s="1082"/>
      <c r="BS3" s="1074" t="s">
        <v>1</v>
      </c>
      <c r="BT3" s="1075"/>
      <c r="BU3" s="1076"/>
      <c r="BV3" s="1077" t="s">
        <v>140</v>
      </c>
      <c r="BW3" s="1078"/>
      <c r="BX3" s="1079"/>
      <c r="BY3" s="1080" t="s">
        <v>2</v>
      </c>
      <c r="BZ3" s="1078"/>
      <c r="CA3" s="1079"/>
    </row>
    <row r="4" spans="1:79" s="535" customFormat="1" ht="72" thickBot="1">
      <c r="A4" s="534" t="s">
        <v>0</v>
      </c>
      <c r="B4" s="556" t="s">
        <v>143</v>
      </c>
      <c r="C4" s="557" t="s">
        <v>144</v>
      </c>
      <c r="D4" s="558" t="s">
        <v>145</v>
      </c>
      <c r="E4" s="559" t="s">
        <v>143</v>
      </c>
      <c r="F4" s="557" t="s">
        <v>144</v>
      </c>
      <c r="G4" s="558" t="s">
        <v>145</v>
      </c>
      <c r="H4" s="559" t="s">
        <v>143</v>
      </c>
      <c r="I4" s="557" t="s">
        <v>144</v>
      </c>
      <c r="J4" s="558" t="s">
        <v>145</v>
      </c>
      <c r="K4" s="559" t="s">
        <v>143</v>
      </c>
      <c r="L4" s="557" t="s">
        <v>144</v>
      </c>
      <c r="M4" s="560" t="s">
        <v>145</v>
      </c>
      <c r="N4" s="559" t="s">
        <v>143</v>
      </c>
      <c r="O4" s="557" t="s">
        <v>144</v>
      </c>
      <c r="P4" s="558" t="s">
        <v>145</v>
      </c>
      <c r="Q4" s="559" t="s">
        <v>143</v>
      </c>
      <c r="R4" s="557" t="s">
        <v>144</v>
      </c>
      <c r="S4" s="558" t="s">
        <v>145</v>
      </c>
      <c r="T4" s="556" t="s">
        <v>143</v>
      </c>
      <c r="U4" s="557" t="s">
        <v>144</v>
      </c>
      <c r="V4" s="558" t="s">
        <v>145</v>
      </c>
      <c r="W4" s="559" t="s">
        <v>143</v>
      </c>
      <c r="X4" s="557" t="s">
        <v>144</v>
      </c>
      <c r="Y4" s="558" t="s">
        <v>145</v>
      </c>
      <c r="Z4" s="559" t="s">
        <v>143</v>
      </c>
      <c r="AA4" s="557" t="s">
        <v>144</v>
      </c>
      <c r="AB4" s="558" t="s">
        <v>145</v>
      </c>
      <c r="AC4" s="559" t="s">
        <v>143</v>
      </c>
      <c r="AD4" s="557" t="s">
        <v>144</v>
      </c>
      <c r="AE4" s="558" t="s">
        <v>145</v>
      </c>
      <c r="AF4" s="559" t="s">
        <v>143</v>
      </c>
      <c r="AG4" s="557" t="s">
        <v>144</v>
      </c>
      <c r="AH4" s="558" t="s">
        <v>145</v>
      </c>
      <c r="AI4" s="559" t="s">
        <v>143</v>
      </c>
      <c r="AJ4" s="557" t="s">
        <v>144</v>
      </c>
      <c r="AK4" s="558" t="s">
        <v>145</v>
      </c>
      <c r="AL4" s="559" t="s">
        <v>143</v>
      </c>
      <c r="AM4" s="557" t="s">
        <v>144</v>
      </c>
      <c r="AN4" s="558" t="s">
        <v>145</v>
      </c>
      <c r="AO4" s="559" t="s">
        <v>143</v>
      </c>
      <c r="AP4" s="557" t="s">
        <v>144</v>
      </c>
      <c r="AQ4" s="558" t="s">
        <v>145</v>
      </c>
      <c r="AR4" s="559" t="s">
        <v>143</v>
      </c>
      <c r="AS4" s="557" t="s">
        <v>144</v>
      </c>
      <c r="AT4" s="558" t="s">
        <v>145</v>
      </c>
      <c r="AU4" s="559" t="s">
        <v>143</v>
      </c>
      <c r="AV4" s="557" t="s">
        <v>144</v>
      </c>
      <c r="AW4" s="558" t="s">
        <v>145</v>
      </c>
      <c r="AX4" s="559" t="s">
        <v>143</v>
      </c>
      <c r="AY4" s="557" t="s">
        <v>144</v>
      </c>
      <c r="AZ4" s="558" t="s">
        <v>145</v>
      </c>
      <c r="BA4" s="559" t="s">
        <v>143</v>
      </c>
      <c r="BB4" s="557" t="s">
        <v>144</v>
      </c>
      <c r="BC4" s="558" t="s">
        <v>145</v>
      </c>
      <c r="BD4" s="559" t="s">
        <v>143</v>
      </c>
      <c r="BE4" s="557" t="s">
        <v>144</v>
      </c>
      <c r="BF4" s="558" t="s">
        <v>145</v>
      </c>
      <c r="BG4" s="559" t="s">
        <v>143</v>
      </c>
      <c r="BH4" s="557" t="s">
        <v>144</v>
      </c>
      <c r="BI4" s="558" t="s">
        <v>145</v>
      </c>
      <c r="BJ4" s="559" t="s">
        <v>143</v>
      </c>
      <c r="BK4" s="557" t="s">
        <v>144</v>
      </c>
      <c r="BL4" s="558" t="s">
        <v>145</v>
      </c>
      <c r="BM4" s="559" t="s">
        <v>143</v>
      </c>
      <c r="BN4" s="557" t="s">
        <v>144</v>
      </c>
      <c r="BO4" s="558" t="s">
        <v>145</v>
      </c>
      <c r="BP4" s="559" t="s">
        <v>143</v>
      </c>
      <c r="BQ4" s="557" t="s">
        <v>144</v>
      </c>
      <c r="BR4" s="661" t="s">
        <v>145</v>
      </c>
      <c r="BS4" s="556" t="s">
        <v>143</v>
      </c>
      <c r="BT4" s="557" t="s">
        <v>144</v>
      </c>
      <c r="BU4" s="558" t="s">
        <v>145</v>
      </c>
      <c r="BV4" s="559" t="s">
        <v>143</v>
      </c>
      <c r="BW4" s="557" t="s">
        <v>144</v>
      </c>
      <c r="BX4" s="558" t="s">
        <v>145</v>
      </c>
      <c r="BY4" s="556" t="s">
        <v>143</v>
      </c>
      <c r="BZ4" s="557" t="s">
        <v>144</v>
      </c>
      <c r="CA4" s="558" t="s">
        <v>145</v>
      </c>
    </row>
    <row r="5" spans="1:79" ht="16.5">
      <c r="A5" s="328" t="s">
        <v>146</v>
      </c>
      <c r="B5" s="561"/>
      <c r="C5" s="363"/>
      <c r="D5" s="364">
        <f>B5-C5</f>
        <v>0</v>
      </c>
      <c r="E5" s="562"/>
      <c r="F5" s="563"/>
      <c r="G5" s="564">
        <f>E5-F5</f>
        <v>0</v>
      </c>
      <c r="H5" s="562"/>
      <c r="I5" s="563"/>
      <c r="J5" s="564">
        <f>H5-I5</f>
        <v>0</v>
      </c>
      <c r="K5" s="562"/>
      <c r="L5" s="563"/>
      <c r="M5" s="565">
        <f>K5-L5</f>
        <v>0</v>
      </c>
      <c r="N5" s="562"/>
      <c r="O5" s="563"/>
      <c r="P5" s="564">
        <f>N5-O5</f>
        <v>0</v>
      </c>
      <c r="Q5" s="562"/>
      <c r="R5" s="563"/>
      <c r="S5" s="564">
        <f>Q5-R5</f>
        <v>0</v>
      </c>
      <c r="T5" s="566"/>
      <c r="U5" s="563"/>
      <c r="V5" s="564">
        <f>T5-U5</f>
        <v>0</v>
      </c>
      <c r="W5" s="562"/>
      <c r="X5" s="563"/>
      <c r="Y5" s="564">
        <f>W5-X5</f>
        <v>0</v>
      </c>
      <c r="Z5" s="562"/>
      <c r="AA5" s="563"/>
      <c r="AB5" s="564">
        <f>Z5-AA5</f>
        <v>0</v>
      </c>
      <c r="AC5" s="562"/>
      <c r="AD5" s="563"/>
      <c r="AE5" s="564">
        <f>AC5-AD5</f>
        <v>0</v>
      </c>
      <c r="AF5" s="562"/>
      <c r="AG5" s="563"/>
      <c r="AH5" s="564">
        <f>AF5-AG5</f>
        <v>0</v>
      </c>
      <c r="AI5" s="562"/>
      <c r="AJ5" s="563"/>
      <c r="AK5" s="564">
        <f>AI5-AJ5</f>
        <v>0</v>
      </c>
      <c r="AL5" s="567"/>
      <c r="AM5" s="568"/>
      <c r="AN5" s="569">
        <f>AL5-AM5</f>
        <v>0</v>
      </c>
      <c r="AO5" s="562"/>
      <c r="AP5" s="563"/>
      <c r="AQ5" s="564">
        <f>AO5-AP5</f>
        <v>0</v>
      </c>
      <c r="AR5" s="562"/>
      <c r="AS5" s="563"/>
      <c r="AT5" s="564">
        <f>AR5-AS5</f>
        <v>0</v>
      </c>
      <c r="AU5" s="562"/>
      <c r="AV5" s="563"/>
      <c r="AW5" s="564">
        <f>AU5-AV5</f>
        <v>0</v>
      </c>
      <c r="AX5" s="562"/>
      <c r="AY5" s="563"/>
      <c r="AZ5" s="564">
        <f>AX5-AY5</f>
        <v>0</v>
      </c>
      <c r="BA5" s="562"/>
      <c r="BB5" s="563"/>
      <c r="BC5" s="564">
        <f>BA5-BB5</f>
        <v>0</v>
      </c>
      <c r="BD5" s="570"/>
      <c r="BE5" s="563"/>
      <c r="BF5" s="564">
        <f>BD5-BE5</f>
        <v>0</v>
      </c>
      <c r="BG5" s="571"/>
      <c r="BH5" s="226"/>
      <c r="BI5" s="223">
        <f>BG5-BH5</f>
        <v>0</v>
      </c>
      <c r="BJ5" s="572"/>
      <c r="BK5" s="573"/>
      <c r="BL5" s="565">
        <f>BJ5-BK5</f>
        <v>0</v>
      </c>
      <c r="BM5" s="574"/>
      <c r="BN5" s="575"/>
      <c r="BO5" s="576">
        <f>BM5-BN5</f>
        <v>0</v>
      </c>
      <c r="BP5" s="562"/>
      <c r="BQ5" s="563"/>
      <c r="BR5" s="652">
        <f>BP5-BQ5</f>
        <v>0</v>
      </c>
      <c r="BS5" s="566"/>
      <c r="BT5" s="563"/>
      <c r="BU5" s="564"/>
      <c r="BV5" s="574"/>
      <c r="BW5" s="575"/>
      <c r="BX5" s="576">
        <f>BV5-BW5</f>
        <v>0</v>
      </c>
      <c r="BY5" s="566"/>
      <c r="BZ5" s="563"/>
      <c r="CA5" s="577"/>
    </row>
    <row r="6" spans="1:79" ht="16.5">
      <c r="A6" s="325" t="s">
        <v>147</v>
      </c>
      <c r="B6" s="204">
        <v>1284527</v>
      </c>
      <c r="C6" s="205">
        <v>1049641</v>
      </c>
      <c r="D6" s="364">
        <f aca="true" t="shared" si="0" ref="D6:D20">B6-C6</f>
        <v>234886</v>
      </c>
      <c r="E6" s="206">
        <v>747992</v>
      </c>
      <c r="F6" s="207">
        <v>648710</v>
      </c>
      <c r="G6" s="564">
        <f aca="true" t="shared" si="1" ref="G6:G20">E6-F6</f>
        <v>99282</v>
      </c>
      <c r="H6" s="206">
        <v>408813</v>
      </c>
      <c r="I6" s="207">
        <v>331700</v>
      </c>
      <c r="J6" s="564">
        <f aca="true" t="shared" si="2" ref="J6:J20">H6-I6</f>
        <v>77113</v>
      </c>
      <c r="K6" s="206">
        <v>133378</v>
      </c>
      <c r="L6" s="207">
        <v>124905</v>
      </c>
      <c r="M6" s="565">
        <f aca="true" t="shared" si="3" ref="M6:M20">K6-L6</f>
        <v>8473</v>
      </c>
      <c r="N6" s="206">
        <v>271448</v>
      </c>
      <c r="O6" s="207">
        <v>206745</v>
      </c>
      <c r="P6" s="564">
        <f aca="true" t="shared" si="4" ref="P6:P20">N6-O6</f>
        <v>64703</v>
      </c>
      <c r="Q6" s="206">
        <v>818263</v>
      </c>
      <c r="R6" s="208">
        <v>790309</v>
      </c>
      <c r="S6" s="564">
        <f aca="true" t="shared" si="5" ref="S6:S20">Q6-R6</f>
        <v>27954</v>
      </c>
      <c r="T6" s="215">
        <v>192134</v>
      </c>
      <c r="U6" s="207">
        <v>83382</v>
      </c>
      <c r="V6" s="564">
        <f aca="true" t="shared" si="6" ref="V6:V19">T6-U6</f>
        <v>108752</v>
      </c>
      <c r="W6" s="206">
        <v>169642</v>
      </c>
      <c r="X6" s="207">
        <v>116479</v>
      </c>
      <c r="Y6" s="564">
        <f aca="true" t="shared" si="7" ref="Y6:Y20">W6-X6</f>
        <v>53163</v>
      </c>
      <c r="Z6" s="206">
        <v>325272</v>
      </c>
      <c r="AA6" s="207">
        <v>268358</v>
      </c>
      <c r="AB6" s="564">
        <f aca="true" t="shared" si="8" ref="AB6:AB20">Z6-AA6</f>
        <v>56914</v>
      </c>
      <c r="AC6" s="206">
        <v>325531</v>
      </c>
      <c r="AD6" s="207">
        <v>269421</v>
      </c>
      <c r="AE6" s="564">
        <f aca="true" t="shared" si="9" ref="AE6:AE20">AC6-AD6</f>
        <v>56110</v>
      </c>
      <c r="AF6" s="206">
        <v>1248596</v>
      </c>
      <c r="AG6" s="207">
        <v>959284</v>
      </c>
      <c r="AH6" s="564">
        <f aca="true" t="shared" si="10" ref="AH6:AH20">AF6-AG6</f>
        <v>289312</v>
      </c>
      <c r="AI6" s="206">
        <v>982525</v>
      </c>
      <c r="AJ6" s="207">
        <v>745929</v>
      </c>
      <c r="AK6" s="564">
        <f aca="true" t="shared" si="11" ref="AK6:AK20">AI6-AJ6</f>
        <v>236596</v>
      </c>
      <c r="AL6" s="578">
        <v>324633</v>
      </c>
      <c r="AM6" s="209">
        <v>284523</v>
      </c>
      <c r="AN6" s="569">
        <f aca="true" t="shared" si="12" ref="AN6:AN20">AL6-AM6</f>
        <v>40110</v>
      </c>
      <c r="AO6" s="206">
        <v>300460</v>
      </c>
      <c r="AP6" s="207">
        <v>255283</v>
      </c>
      <c r="AQ6" s="564">
        <f aca="true" t="shared" si="13" ref="AQ6:AQ20">AO6-AP6</f>
        <v>45177</v>
      </c>
      <c r="AR6" s="206">
        <v>1176602</v>
      </c>
      <c r="AS6" s="207">
        <v>1031407</v>
      </c>
      <c r="AT6" s="564">
        <f aca="true" t="shared" si="14" ref="AT6:AT20">AR6-AS6</f>
        <v>145195</v>
      </c>
      <c r="AU6" s="206">
        <v>2573437</v>
      </c>
      <c r="AV6" s="207">
        <v>1797085</v>
      </c>
      <c r="AW6" s="564">
        <f aca="true" t="shared" si="15" ref="AW6:AW20">AU6-AV6</f>
        <v>776352</v>
      </c>
      <c r="AX6" s="206">
        <v>788287</v>
      </c>
      <c r="AY6" s="207">
        <v>642102</v>
      </c>
      <c r="AZ6" s="564">
        <f aca="true" t="shared" si="16" ref="AZ6:AZ20">AX6-AY6</f>
        <v>146185</v>
      </c>
      <c r="BA6" s="206">
        <v>471399</v>
      </c>
      <c r="BB6" s="207">
        <v>384464</v>
      </c>
      <c r="BC6" s="564">
        <f aca="true" t="shared" si="17" ref="BC6:BC20">BA6-BB6</f>
        <v>86935</v>
      </c>
      <c r="BD6" s="210">
        <v>173331</v>
      </c>
      <c r="BE6" s="207">
        <v>135687</v>
      </c>
      <c r="BF6" s="564">
        <f aca="true" t="shared" si="18" ref="BF6:BF20">BD6-BE6</f>
        <v>37644</v>
      </c>
      <c r="BG6" s="16">
        <v>1067550</v>
      </c>
      <c r="BH6" s="17">
        <v>979586</v>
      </c>
      <c r="BI6" s="223">
        <f aca="true" t="shared" si="19" ref="BI6:BI20">BG6-BH6</f>
        <v>87964</v>
      </c>
      <c r="BJ6" s="580">
        <v>185644</v>
      </c>
      <c r="BK6" s="213">
        <v>163909</v>
      </c>
      <c r="BL6" s="565">
        <f aca="true" t="shared" si="20" ref="BL6:BL20">BJ6-BK6</f>
        <v>21735</v>
      </c>
      <c r="BM6" s="580">
        <v>421011</v>
      </c>
      <c r="BN6" s="213">
        <v>354804</v>
      </c>
      <c r="BO6" s="576">
        <f aca="true" t="shared" si="21" ref="BO6:BO20">BM6-BN6</f>
        <v>66207</v>
      </c>
      <c r="BP6" s="206">
        <v>947714</v>
      </c>
      <c r="BQ6" s="207">
        <v>852546</v>
      </c>
      <c r="BR6" s="652">
        <f aca="true" t="shared" si="22" ref="BR6:BR20">BP6-BQ6</f>
        <v>95168</v>
      </c>
      <c r="BS6" s="215">
        <f aca="true" t="shared" si="23" ref="BS6:BS20">B6+E6+H6+K6+N6+Q6+T6+W6+Z6+AC6+AF6+AI6+AL6+AO6+AR6+AU6+AX6+BA6+BD6+BG6+BJ6+BM6+BP6</f>
        <v>15338189</v>
      </c>
      <c r="BT6" s="207">
        <f aca="true" t="shared" si="24" ref="BT6:BU20">C6+F6+I6+L6+O6+R6+U6+X6+AA6+AD6+AG6+AJ6+AM6+AP6+AS6+AV6+AY6+BB6+BE6+BH6+BK6+BN6+BQ6</f>
        <v>12476259</v>
      </c>
      <c r="BU6" s="208">
        <f t="shared" si="24"/>
        <v>2861930</v>
      </c>
      <c r="BV6" s="580">
        <v>499114</v>
      </c>
      <c r="BW6" s="213"/>
      <c r="BX6" s="576">
        <f aca="true" t="shared" si="25" ref="BX6:BX20">BV6-BW6</f>
        <v>499114</v>
      </c>
      <c r="BY6" s="215">
        <f aca="true" t="shared" si="26" ref="BY6:BY20">BS6+BV6</f>
        <v>15837303</v>
      </c>
      <c r="BZ6" s="207">
        <f aca="true" t="shared" si="27" ref="BZ6:CA20">BT6+BW6</f>
        <v>12476259</v>
      </c>
      <c r="CA6" s="208">
        <f t="shared" si="27"/>
        <v>3361044</v>
      </c>
    </row>
    <row r="7" spans="1:79" ht="16.5">
      <c r="A7" s="325" t="s">
        <v>148</v>
      </c>
      <c r="B7" s="204"/>
      <c r="C7" s="205"/>
      <c r="D7" s="364">
        <f t="shared" si="0"/>
        <v>0</v>
      </c>
      <c r="E7" s="206"/>
      <c r="F7" s="207"/>
      <c r="G7" s="564">
        <f t="shared" si="1"/>
        <v>0</v>
      </c>
      <c r="H7" s="206"/>
      <c r="I7" s="207"/>
      <c r="J7" s="564">
        <f t="shared" si="2"/>
        <v>0</v>
      </c>
      <c r="K7" s="206">
        <v>19039</v>
      </c>
      <c r="L7" s="207"/>
      <c r="M7" s="565">
        <f t="shared" si="3"/>
        <v>19039</v>
      </c>
      <c r="N7" s="206"/>
      <c r="O7" s="207"/>
      <c r="P7" s="564">
        <f t="shared" si="4"/>
        <v>0</v>
      </c>
      <c r="Q7" s="206"/>
      <c r="R7" s="208"/>
      <c r="S7" s="564">
        <f t="shared" si="5"/>
        <v>0</v>
      </c>
      <c r="T7" s="215"/>
      <c r="U7" s="207"/>
      <c r="V7" s="564">
        <f t="shared" si="6"/>
        <v>0</v>
      </c>
      <c r="W7" s="206"/>
      <c r="X7" s="207"/>
      <c r="Y7" s="564">
        <f t="shared" si="7"/>
        <v>0</v>
      </c>
      <c r="Z7" s="206"/>
      <c r="AA7" s="207"/>
      <c r="AB7" s="564">
        <f t="shared" si="8"/>
        <v>0</v>
      </c>
      <c r="AC7" s="206"/>
      <c r="AD7" s="207"/>
      <c r="AE7" s="564">
        <f t="shared" si="9"/>
        <v>0</v>
      </c>
      <c r="AF7" s="206"/>
      <c r="AG7" s="207"/>
      <c r="AH7" s="564">
        <f t="shared" si="10"/>
        <v>0</v>
      </c>
      <c r="AI7" s="206">
        <v>903280</v>
      </c>
      <c r="AJ7" s="207"/>
      <c r="AK7" s="564">
        <f t="shared" si="11"/>
        <v>903280</v>
      </c>
      <c r="AL7" s="578"/>
      <c r="AM7" s="209"/>
      <c r="AN7" s="569">
        <f t="shared" si="12"/>
        <v>0</v>
      </c>
      <c r="AO7" s="206"/>
      <c r="AP7" s="207"/>
      <c r="AQ7" s="564">
        <f t="shared" si="13"/>
        <v>0</v>
      </c>
      <c r="AR7" s="392"/>
      <c r="AS7" s="393"/>
      <c r="AT7" s="564">
        <f t="shared" si="14"/>
        <v>0</v>
      </c>
      <c r="AU7" s="206"/>
      <c r="AV7" s="207"/>
      <c r="AW7" s="564">
        <f t="shared" si="15"/>
        <v>0</v>
      </c>
      <c r="AX7" s="206"/>
      <c r="AY7" s="207"/>
      <c r="AZ7" s="564">
        <f t="shared" si="16"/>
        <v>0</v>
      </c>
      <c r="BA7" s="206"/>
      <c r="BB7" s="207"/>
      <c r="BC7" s="564">
        <f t="shared" si="17"/>
        <v>0</v>
      </c>
      <c r="BD7" s="210"/>
      <c r="BE7" s="207"/>
      <c r="BF7" s="564">
        <f t="shared" si="18"/>
        <v>0</v>
      </c>
      <c r="BG7" s="16">
        <v>1762522</v>
      </c>
      <c r="BH7" s="81"/>
      <c r="BI7" s="223">
        <f t="shared" si="19"/>
        <v>1762522</v>
      </c>
      <c r="BJ7" s="580">
        <v>56334</v>
      </c>
      <c r="BK7" s="213"/>
      <c r="BL7" s="565">
        <f t="shared" si="20"/>
        <v>56334</v>
      </c>
      <c r="BM7" s="580"/>
      <c r="BN7" s="213"/>
      <c r="BO7" s="576">
        <f t="shared" si="21"/>
        <v>0</v>
      </c>
      <c r="BP7" s="206"/>
      <c r="BQ7" s="207"/>
      <c r="BR7" s="652">
        <f t="shared" si="22"/>
        <v>0</v>
      </c>
      <c r="BS7" s="215">
        <f t="shared" si="23"/>
        <v>2741175</v>
      </c>
      <c r="BT7" s="207">
        <f t="shared" si="24"/>
        <v>0</v>
      </c>
      <c r="BU7" s="208">
        <f t="shared" si="24"/>
        <v>2741175</v>
      </c>
      <c r="BV7" s="206">
        <v>2780327</v>
      </c>
      <c r="BW7" s="207">
        <v>5931</v>
      </c>
      <c r="BX7" s="576">
        <f t="shared" si="25"/>
        <v>2774396</v>
      </c>
      <c r="BY7" s="215">
        <f t="shared" si="26"/>
        <v>5521502</v>
      </c>
      <c r="BZ7" s="207">
        <f t="shared" si="27"/>
        <v>5931</v>
      </c>
      <c r="CA7" s="208">
        <f t="shared" si="27"/>
        <v>5515571</v>
      </c>
    </row>
    <row r="8" spans="1:79" ht="16.5">
      <c r="A8" s="325" t="s">
        <v>149</v>
      </c>
      <c r="B8" s="204"/>
      <c r="C8" s="205"/>
      <c r="D8" s="364">
        <f t="shared" si="0"/>
        <v>0</v>
      </c>
      <c r="E8" s="206"/>
      <c r="F8" s="207"/>
      <c r="G8" s="564">
        <f t="shared" si="1"/>
        <v>0</v>
      </c>
      <c r="H8" s="206"/>
      <c r="I8" s="207"/>
      <c r="J8" s="564">
        <f t="shared" si="2"/>
        <v>0</v>
      </c>
      <c r="K8" s="206">
        <v>488762</v>
      </c>
      <c r="L8" s="207">
        <v>464903</v>
      </c>
      <c r="M8" s="565">
        <f t="shared" si="3"/>
        <v>23859</v>
      </c>
      <c r="N8" s="206">
        <v>127592</v>
      </c>
      <c r="O8" s="207">
        <v>119590</v>
      </c>
      <c r="P8" s="564">
        <f t="shared" si="4"/>
        <v>8002</v>
      </c>
      <c r="Q8" s="206">
        <v>56755</v>
      </c>
      <c r="R8" s="208">
        <v>34799</v>
      </c>
      <c r="S8" s="564">
        <f t="shared" si="5"/>
        <v>21956</v>
      </c>
      <c r="T8" s="215">
        <v>83897</v>
      </c>
      <c r="U8" s="207">
        <v>37306</v>
      </c>
      <c r="V8" s="564">
        <f t="shared" si="6"/>
        <v>46591</v>
      </c>
      <c r="W8" s="206">
        <v>87652</v>
      </c>
      <c r="X8" s="207">
        <v>42878</v>
      </c>
      <c r="Y8" s="564">
        <f t="shared" si="7"/>
        <v>44774</v>
      </c>
      <c r="Z8" s="206">
        <v>549889</v>
      </c>
      <c r="AA8" s="207">
        <v>462228</v>
      </c>
      <c r="AB8" s="564">
        <f t="shared" si="8"/>
        <v>87661</v>
      </c>
      <c r="AC8" s="206">
        <v>46424</v>
      </c>
      <c r="AD8" s="207">
        <v>11118</v>
      </c>
      <c r="AE8" s="564">
        <f t="shared" si="9"/>
        <v>35306</v>
      </c>
      <c r="AF8" s="206">
        <v>14916</v>
      </c>
      <c r="AG8" s="207">
        <v>10444</v>
      </c>
      <c r="AH8" s="564">
        <f t="shared" si="10"/>
        <v>4472</v>
      </c>
      <c r="AI8" s="206">
        <v>1340535</v>
      </c>
      <c r="AJ8" s="207">
        <v>999893</v>
      </c>
      <c r="AK8" s="564">
        <f t="shared" si="11"/>
        <v>340642</v>
      </c>
      <c r="AL8" s="206">
        <v>18994</v>
      </c>
      <c r="AM8" s="207">
        <v>16566</v>
      </c>
      <c r="AN8" s="569">
        <f t="shared" si="12"/>
        <v>2428</v>
      </c>
      <c r="AO8" s="206">
        <v>153197</v>
      </c>
      <c r="AP8" s="207">
        <v>136193</v>
      </c>
      <c r="AQ8" s="564">
        <f t="shared" si="13"/>
        <v>17004</v>
      </c>
      <c r="AR8" s="206"/>
      <c r="AS8" s="207"/>
      <c r="AT8" s="564">
        <f t="shared" si="14"/>
        <v>0</v>
      </c>
      <c r="AU8" s="206">
        <v>1129917</v>
      </c>
      <c r="AV8" s="207">
        <v>951371</v>
      </c>
      <c r="AW8" s="564">
        <f t="shared" si="15"/>
        <v>178546</v>
      </c>
      <c r="AX8" s="206">
        <v>183000</v>
      </c>
      <c r="AY8" s="207">
        <v>107005</v>
      </c>
      <c r="AZ8" s="564">
        <f t="shared" si="16"/>
        <v>75995</v>
      </c>
      <c r="BA8" s="206">
        <v>69069</v>
      </c>
      <c r="BB8" s="207">
        <v>69069</v>
      </c>
      <c r="BC8" s="564">
        <f t="shared" si="17"/>
        <v>0</v>
      </c>
      <c r="BD8" s="210"/>
      <c r="BE8" s="207"/>
      <c r="BF8" s="564">
        <f t="shared" si="18"/>
        <v>0</v>
      </c>
      <c r="BG8" s="32"/>
      <c r="BH8" s="81"/>
      <c r="BI8" s="223">
        <f t="shared" si="19"/>
        <v>0</v>
      </c>
      <c r="BJ8" s="580"/>
      <c r="BK8" s="213"/>
      <c r="BL8" s="565">
        <f t="shared" si="20"/>
        <v>0</v>
      </c>
      <c r="BM8" s="580">
        <v>69492</v>
      </c>
      <c r="BN8" s="213">
        <v>48647</v>
      </c>
      <c r="BO8" s="576">
        <f t="shared" si="21"/>
        <v>20845</v>
      </c>
      <c r="BP8" s="206">
        <v>584724</v>
      </c>
      <c r="BQ8" s="207">
        <v>555004</v>
      </c>
      <c r="BR8" s="652">
        <f t="shared" si="22"/>
        <v>29720</v>
      </c>
      <c r="BS8" s="215">
        <f t="shared" si="23"/>
        <v>5004815</v>
      </c>
      <c r="BT8" s="207">
        <f t="shared" si="24"/>
        <v>4067014</v>
      </c>
      <c r="BU8" s="208">
        <f t="shared" si="24"/>
        <v>937801</v>
      </c>
      <c r="BV8" s="580">
        <v>966661</v>
      </c>
      <c r="BW8" s="213">
        <v>61086</v>
      </c>
      <c r="BX8" s="576">
        <f t="shared" si="25"/>
        <v>905575</v>
      </c>
      <c r="BY8" s="215">
        <f t="shared" si="26"/>
        <v>5971476</v>
      </c>
      <c r="BZ8" s="207">
        <f t="shared" si="27"/>
        <v>4128100</v>
      </c>
      <c r="CA8" s="208">
        <f t="shared" si="27"/>
        <v>1843376</v>
      </c>
    </row>
    <row r="9" spans="1:79" ht="16.5">
      <c r="A9" s="325" t="s">
        <v>150</v>
      </c>
      <c r="B9" s="204"/>
      <c r="C9" s="205"/>
      <c r="D9" s="364">
        <f t="shared" si="0"/>
        <v>0</v>
      </c>
      <c r="E9" s="206"/>
      <c r="F9" s="207"/>
      <c r="G9" s="564">
        <f t="shared" si="1"/>
        <v>0</v>
      </c>
      <c r="H9" s="206"/>
      <c r="I9" s="207"/>
      <c r="J9" s="564">
        <f t="shared" si="2"/>
        <v>0</v>
      </c>
      <c r="K9" s="206">
        <v>2008383</v>
      </c>
      <c r="L9" s="207">
        <v>229341</v>
      </c>
      <c r="M9" s="565">
        <f t="shared" si="3"/>
        <v>1779042</v>
      </c>
      <c r="N9" s="206"/>
      <c r="O9" s="207"/>
      <c r="P9" s="564">
        <f t="shared" si="4"/>
        <v>0</v>
      </c>
      <c r="Q9" s="206"/>
      <c r="R9" s="207"/>
      <c r="S9" s="564">
        <f t="shared" si="5"/>
        <v>0</v>
      </c>
      <c r="T9" s="215"/>
      <c r="U9" s="207"/>
      <c r="V9" s="564">
        <f t="shared" si="6"/>
        <v>0</v>
      </c>
      <c r="W9" s="206"/>
      <c r="X9" s="207"/>
      <c r="Y9" s="564">
        <f t="shared" si="7"/>
        <v>0</v>
      </c>
      <c r="Z9" s="206"/>
      <c r="AA9" s="207"/>
      <c r="AB9" s="564">
        <f t="shared" si="8"/>
        <v>0</v>
      </c>
      <c r="AC9" s="206"/>
      <c r="AD9" s="207"/>
      <c r="AE9" s="564">
        <f t="shared" si="9"/>
        <v>0</v>
      </c>
      <c r="AF9" s="206">
        <v>3423709</v>
      </c>
      <c r="AG9" s="207">
        <v>337180</v>
      </c>
      <c r="AH9" s="564">
        <f t="shared" si="10"/>
        <v>3086529</v>
      </c>
      <c r="AI9" s="206">
        <v>89000</v>
      </c>
      <c r="AJ9" s="207">
        <v>13101</v>
      </c>
      <c r="AK9" s="564">
        <f t="shared" si="11"/>
        <v>75899</v>
      </c>
      <c r="AL9" s="206"/>
      <c r="AM9" s="207"/>
      <c r="AN9" s="569">
        <f t="shared" si="12"/>
        <v>0</v>
      </c>
      <c r="AO9" s="206"/>
      <c r="AP9" s="207"/>
      <c r="AQ9" s="564">
        <f t="shared" si="13"/>
        <v>0</v>
      </c>
      <c r="AR9" s="206"/>
      <c r="AS9" s="207"/>
      <c r="AT9" s="564">
        <f t="shared" si="14"/>
        <v>0</v>
      </c>
      <c r="AU9" s="206"/>
      <c r="AV9" s="207"/>
      <c r="AW9" s="564">
        <f t="shared" si="15"/>
        <v>0</v>
      </c>
      <c r="AX9" s="206">
        <v>189053</v>
      </c>
      <c r="AY9" s="207">
        <v>6120</v>
      </c>
      <c r="AZ9" s="564">
        <f t="shared" si="16"/>
        <v>182933</v>
      </c>
      <c r="BA9" s="206"/>
      <c r="BB9" s="207"/>
      <c r="BC9" s="564">
        <f t="shared" si="17"/>
        <v>0</v>
      </c>
      <c r="BD9" s="210">
        <v>53879</v>
      </c>
      <c r="BE9" s="207">
        <v>2278</v>
      </c>
      <c r="BF9" s="564">
        <f t="shared" si="18"/>
        <v>51601</v>
      </c>
      <c r="BG9" s="16">
        <v>677870</v>
      </c>
      <c r="BH9" s="17">
        <v>51386</v>
      </c>
      <c r="BI9" s="223">
        <f t="shared" si="19"/>
        <v>626484</v>
      </c>
      <c r="BJ9" s="580">
        <v>134370</v>
      </c>
      <c r="BK9" s="213">
        <v>7303</v>
      </c>
      <c r="BL9" s="565">
        <f t="shared" si="20"/>
        <v>127067</v>
      </c>
      <c r="BM9" s="580"/>
      <c r="BN9" s="213"/>
      <c r="BO9" s="576">
        <f t="shared" si="21"/>
        <v>0</v>
      </c>
      <c r="BP9" s="206">
        <v>790109</v>
      </c>
      <c r="BQ9" s="207">
        <v>61958</v>
      </c>
      <c r="BR9" s="652">
        <f t="shared" si="22"/>
        <v>728151</v>
      </c>
      <c r="BS9" s="215">
        <f t="shared" si="23"/>
        <v>7366373</v>
      </c>
      <c r="BT9" s="207">
        <f t="shared" si="24"/>
        <v>708667</v>
      </c>
      <c r="BU9" s="208">
        <f t="shared" si="24"/>
        <v>6657706</v>
      </c>
      <c r="BV9" s="580">
        <v>24531978</v>
      </c>
      <c r="BW9" s="213">
        <v>5270934</v>
      </c>
      <c r="BX9" s="576">
        <f t="shared" si="25"/>
        <v>19261044</v>
      </c>
      <c r="BY9" s="215">
        <f t="shared" si="26"/>
        <v>31898351</v>
      </c>
      <c r="BZ9" s="207">
        <f t="shared" si="27"/>
        <v>5979601</v>
      </c>
      <c r="CA9" s="208">
        <f t="shared" si="27"/>
        <v>25918750</v>
      </c>
    </row>
    <row r="10" spans="1:79" ht="16.5">
      <c r="A10" s="325" t="s">
        <v>151</v>
      </c>
      <c r="B10" s="204"/>
      <c r="C10" s="205"/>
      <c r="D10" s="364">
        <f t="shared" si="0"/>
        <v>0</v>
      </c>
      <c r="E10" s="206"/>
      <c r="F10" s="207"/>
      <c r="G10" s="564">
        <f t="shared" si="1"/>
        <v>0</v>
      </c>
      <c r="H10" s="206"/>
      <c r="I10" s="207"/>
      <c r="J10" s="564">
        <f t="shared" si="2"/>
        <v>0</v>
      </c>
      <c r="K10" s="206"/>
      <c r="L10" s="207"/>
      <c r="M10" s="565">
        <f t="shared" si="3"/>
        <v>0</v>
      </c>
      <c r="N10" s="206"/>
      <c r="O10" s="207"/>
      <c r="P10" s="564">
        <f t="shared" si="4"/>
        <v>0</v>
      </c>
      <c r="Q10" s="206"/>
      <c r="R10" s="207"/>
      <c r="S10" s="564">
        <f t="shared" si="5"/>
        <v>0</v>
      </c>
      <c r="T10" s="215"/>
      <c r="U10" s="207"/>
      <c r="V10" s="564">
        <f t="shared" si="6"/>
        <v>0</v>
      </c>
      <c r="W10" s="206"/>
      <c r="X10" s="207"/>
      <c r="Y10" s="564">
        <f t="shared" si="7"/>
        <v>0</v>
      </c>
      <c r="Z10" s="206"/>
      <c r="AA10" s="207"/>
      <c r="AB10" s="564">
        <f t="shared" si="8"/>
        <v>0</v>
      </c>
      <c r="AC10" s="206"/>
      <c r="AD10" s="207"/>
      <c r="AE10" s="564">
        <f t="shared" si="9"/>
        <v>0</v>
      </c>
      <c r="AF10" s="206"/>
      <c r="AG10" s="207"/>
      <c r="AH10" s="564">
        <f t="shared" si="10"/>
        <v>0</v>
      </c>
      <c r="AI10" s="206"/>
      <c r="AJ10" s="207"/>
      <c r="AK10" s="564">
        <f t="shared" si="11"/>
        <v>0</v>
      </c>
      <c r="AL10" s="206"/>
      <c r="AM10" s="207"/>
      <c r="AN10" s="569">
        <f t="shared" si="12"/>
        <v>0</v>
      </c>
      <c r="AO10" s="206"/>
      <c r="AP10" s="207"/>
      <c r="AQ10" s="564">
        <f t="shared" si="13"/>
        <v>0</v>
      </c>
      <c r="AR10" s="206"/>
      <c r="AS10" s="207"/>
      <c r="AT10" s="564">
        <f t="shared" si="14"/>
        <v>0</v>
      </c>
      <c r="AU10" s="206"/>
      <c r="AV10" s="207"/>
      <c r="AW10" s="564">
        <f t="shared" si="15"/>
        <v>0</v>
      </c>
      <c r="AX10" s="206"/>
      <c r="AY10" s="207"/>
      <c r="AZ10" s="564">
        <f t="shared" si="16"/>
        <v>0</v>
      </c>
      <c r="BA10" s="206"/>
      <c r="BB10" s="207"/>
      <c r="BC10" s="564">
        <f t="shared" si="17"/>
        <v>0</v>
      </c>
      <c r="BD10" s="210"/>
      <c r="BE10" s="207"/>
      <c r="BF10" s="564">
        <f t="shared" si="18"/>
        <v>0</v>
      </c>
      <c r="BG10" s="16"/>
      <c r="BH10" s="17"/>
      <c r="BI10" s="223">
        <f t="shared" si="19"/>
        <v>0</v>
      </c>
      <c r="BJ10" s="580"/>
      <c r="BK10" s="213"/>
      <c r="BL10" s="565">
        <f t="shared" si="20"/>
        <v>0</v>
      </c>
      <c r="BM10" s="580"/>
      <c r="BN10" s="213"/>
      <c r="BO10" s="576">
        <f t="shared" si="21"/>
        <v>0</v>
      </c>
      <c r="BP10" s="206"/>
      <c r="BQ10" s="207"/>
      <c r="BR10" s="652">
        <f t="shared" si="22"/>
        <v>0</v>
      </c>
      <c r="BS10" s="215">
        <f t="shared" si="23"/>
        <v>0</v>
      </c>
      <c r="BT10" s="207">
        <f t="shared" si="24"/>
        <v>0</v>
      </c>
      <c r="BU10" s="208">
        <f t="shared" si="24"/>
        <v>0</v>
      </c>
      <c r="BV10" s="580"/>
      <c r="BW10" s="213"/>
      <c r="BX10" s="576">
        <f t="shared" si="25"/>
        <v>0</v>
      </c>
      <c r="BY10" s="215">
        <f t="shared" si="26"/>
        <v>0</v>
      </c>
      <c r="BZ10" s="207">
        <f t="shared" si="27"/>
        <v>0</v>
      </c>
      <c r="CA10" s="208">
        <f t="shared" si="27"/>
        <v>0</v>
      </c>
    </row>
    <row r="11" spans="1:79" ht="16.5">
      <c r="A11" s="325" t="s">
        <v>152</v>
      </c>
      <c r="B11" s="204">
        <v>127936</v>
      </c>
      <c r="C11" s="205">
        <v>101799</v>
      </c>
      <c r="D11" s="364">
        <f t="shared" si="0"/>
        <v>26137</v>
      </c>
      <c r="E11" s="206">
        <v>13921</v>
      </c>
      <c r="F11" s="207">
        <v>9971</v>
      </c>
      <c r="G11" s="564">
        <f t="shared" si="1"/>
        <v>3950</v>
      </c>
      <c r="H11" s="206">
        <v>156633</v>
      </c>
      <c r="I11" s="207">
        <v>154271</v>
      </c>
      <c r="J11" s="564">
        <f t="shared" si="2"/>
        <v>2362</v>
      </c>
      <c r="K11" s="219">
        <v>264986</v>
      </c>
      <c r="L11" s="207">
        <v>140911</v>
      </c>
      <c r="M11" s="565">
        <f t="shared" si="3"/>
        <v>124075</v>
      </c>
      <c r="N11" s="206">
        <v>49491</v>
      </c>
      <c r="O11" s="207">
        <v>45664</v>
      </c>
      <c r="P11" s="564">
        <f t="shared" si="4"/>
        <v>3827</v>
      </c>
      <c r="Q11" s="206">
        <v>26728</v>
      </c>
      <c r="R11" s="207">
        <v>24228</v>
      </c>
      <c r="S11" s="564">
        <f t="shared" si="5"/>
        <v>2500</v>
      </c>
      <c r="T11" s="215">
        <v>16188</v>
      </c>
      <c r="U11" s="207">
        <v>13075</v>
      </c>
      <c r="V11" s="564">
        <f t="shared" si="6"/>
        <v>3113</v>
      </c>
      <c r="W11" s="206">
        <v>21449</v>
      </c>
      <c r="X11" s="207">
        <v>12507</v>
      </c>
      <c r="Y11" s="564">
        <f t="shared" si="7"/>
        <v>8942</v>
      </c>
      <c r="Z11" s="206">
        <v>104909</v>
      </c>
      <c r="AA11" s="207">
        <v>78241</v>
      </c>
      <c r="AB11" s="564">
        <f t="shared" si="8"/>
        <v>26668</v>
      </c>
      <c r="AC11" s="206">
        <v>45275</v>
      </c>
      <c r="AD11" s="207">
        <v>12287</v>
      </c>
      <c r="AE11" s="564">
        <f t="shared" si="9"/>
        <v>32988</v>
      </c>
      <c r="AF11" s="206">
        <v>686070</v>
      </c>
      <c r="AG11" s="207">
        <v>622954</v>
      </c>
      <c r="AH11" s="564">
        <f t="shared" si="10"/>
        <v>63116</v>
      </c>
      <c r="AI11" s="206">
        <v>230393</v>
      </c>
      <c r="AJ11" s="207">
        <v>145314</v>
      </c>
      <c r="AK11" s="564">
        <f t="shared" si="11"/>
        <v>85079</v>
      </c>
      <c r="AL11" s="578">
        <v>93204</v>
      </c>
      <c r="AM11" s="209">
        <v>89008</v>
      </c>
      <c r="AN11" s="569">
        <f t="shared" si="12"/>
        <v>4196</v>
      </c>
      <c r="AO11" s="206">
        <v>19606</v>
      </c>
      <c r="AP11" s="207">
        <v>19213</v>
      </c>
      <c r="AQ11" s="564">
        <f t="shared" si="13"/>
        <v>393</v>
      </c>
      <c r="AR11" s="392">
        <v>418437</v>
      </c>
      <c r="AS11" s="393">
        <v>323760</v>
      </c>
      <c r="AT11" s="564">
        <f t="shared" si="14"/>
        <v>94677</v>
      </c>
      <c r="AU11" s="206">
        <v>369270</v>
      </c>
      <c r="AV11" s="207">
        <v>291861</v>
      </c>
      <c r="AW11" s="564">
        <f t="shared" si="15"/>
        <v>77409</v>
      </c>
      <c r="AX11" s="206">
        <v>86381</v>
      </c>
      <c r="AY11" s="207">
        <v>66130</v>
      </c>
      <c r="AZ11" s="564">
        <f t="shared" si="16"/>
        <v>20251</v>
      </c>
      <c r="BA11" s="206">
        <v>134621</v>
      </c>
      <c r="BB11" s="207">
        <v>127653</v>
      </c>
      <c r="BC11" s="564">
        <f t="shared" si="17"/>
        <v>6968</v>
      </c>
      <c r="BD11" s="210">
        <v>6471</v>
      </c>
      <c r="BE11" s="207">
        <v>4175</v>
      </c>
      <c r="BF11" s="564">
        <f t="shared" si="18"/>
        <v>2296</v>
      </c>
      <c r="BG11" s="16">
        <v>382348</v>
      </c>
      <c r="BH11" s="17">
        <v>285654</v>
      </c>
      <c r="BI11" s="223">
        <f t="shared" si="19"/>
        <v>96694</v>
      </c>
      <c r="BJ11" s="580">
        <v>167562</v>
      </c>
      <c r="BK11" s="213">
        <v>39721</v>
      </c>
      <c r="BL11" s="565">
        <f t="shared" si="20"/>
        <v>127841</v>
      </c>
      <c r="BM11" s="580">
        <v>33233</v>
      </c>
      <c r="BN11" s="213">
        <v>22520</v>
      </c>
      <c r="BO11" s="576">
        <f t="shared" si="21"/>
        <v>10713</v>
      </c>
      <c r="BP11" s="206">
        <v>237490</v>
      </c>
      <c r="BQ11" s="207">
        <v>153896</v>
      </c>
      <c r="BR11" s="652">
        <f t="shared" si="22"/>
        <v>83594</v>
      </c>
      <c r="BS11" s="215">
        <f t="shared" si="23"/>
        <v>3692602</v>
      </c>
      <c r="BT11" s="207">
        <f t="shared" si="24"/>
        <v>2784813</v>
      </c>
      <c r="BU11" s="208">
        <f t="shared" si="24"/>
        <v>907789</v>
      </c>
      <c r="BV11" s="206">
        <v>4398261</v>
      </c>
      <c r="BW11" s="207">
        <v>2318879</v>
      </c>
      <c r="BX11" s="576">
        <f t="shared" si="25"/>
        <v>2079382</v>
      </c>
      <c r="BY11" s="215">
        <f t="shared" si="26"/>
        <v>8090863</v>
      </c>
      <c r="BZ11" s="207">
        <f t="shared" si="27"/>
        <v>5103692</v>
      </c>
      <c r="CA11" s="208">
        <f t="shared" si="27"/>
        <v>2987171</v>
      </c>
    </row>
    <row r="12" spans="1:79" ht="16.5">
      <c r="A12" s="325" t="s">
        <v>153</v>
      </c>
      <c r="B12" s="204">
        <v>789535</v>
      </c>
      <c r="C12" s="205">
        <v>594321</v>
      </c>
      <c r="D12" s="364">
        <f t="shared" si="0"/>
        <v>195214</v>
      </c>
      <c r="E12" s="206">
        <v>89117</v>
      </c>
      <c r="F12" s="207">
        <v>85694</v>
      </c>
      <c r="G12" s="564">
        <f t="shared" si="1"/>
        <v>3423</v>
      </c>
      <c r="H12" s="206">
        <v>506958</v>
      </c>
      <c r="I12" s="207">
        <v>450451</v>
      </c>
      <c r="J12" s="564">
        <f t="shared" si="2"/>
        <v>56507</v>
      </c>
      <c r="K12" s="206">
        <f>860524+479504</f>
        <v>1340028</v>
      </c>
      <c r="L12" s="207">
        <f>799329+478007</f>
        <v>1277336</v>
      </c>
      <c r="M12" s="565">
        <f t="shared" si="3"/>
        <v>62692</v>
      </c>
      <c r="N12" s="206">
        <v>182166</v>
      </c>
      <c r="O12" s="207">
        <v>160954</v>
      </c>
      <c r="P12" s="564">
        <f t="shared" si="4"/>
        <v>21212</v>
      </c>
      <c r="Q12" s="206">
        <v>332405</v>
      </c>
      <c r="R12" s="207">
        <v>284756</v>
      </c>
      <c r="S12" s="564">
        <f t="shared" si="5"/>
        <v>47649</v>
      </c>
      <c r="T12" s="215">
        <v>136193</v>
      </c>
      <c r="U12" s="207">
        <v>69754</v>
      </c>
      <c r="V12" s="564">
        <f t="shared" si="6"/>
        <v>66439</v>
      </c>
      <c r="W12" s="206">
        <v>150216</v>
      </c>
      <c r="X12" s="207">
        <v>107716</v>
      </c>
      <c r="Y12" s="564">
        <f t="shared" si="7"/>
        <v>42500</v>
      </c>
      <c r="Z12" s="206">
        <v>200442</v>
      </c>
      <c r="AA12" s="207">
        <v>148533</v>
      </c>
      <c r="AB12" s="564">
        <f t="shared" si="8"/>
        <v>51909</v>
      </c>
      <c r="AC12" s="206">
        <v>42545</v>
      </c>
      <c r="AD12" s="207">
        <v>19398</v>
      </c>
      <c r="AE12" s="564">
        <f t="shared" si="9"/>
        <v>23147</v>
      </c>
      <c r="AF12" s="206">
        <v>955594</v>
      </c>
      <c r="AG12" s="207">
        <v>748420</v>
      </c>
      <c r="AH12" s="564">
        <f t="shared" si="10"/>
        <v>207174</v>
      </c>
      <c r="AI12" s="206">
        <v>378986</v>
      </c>
      <c r="AJ12" s="207">
        <v>239221</v>
      </c>
      <c r="AK12" s="564">
        <f t="shared" si="11"/>
        <v>139765</v>
      </c>
      <c r="AL12" s="578">
        <v>87816</v>
      </c>
      <c r="AM12" s="209">
        <v>62865</v>
      </c>
      <c r="AN12" s="569">
        <f t="shared" si="12"/>
        <v>24951</v>
      </c>
      <c r="AO12" s="206">
        <v>309177</v>
      </c>
      <c r="AP12" s="207">
        <v>280453</v>
      </c>
      <c r="AQ12" s="564">
        <f t="shared" si="13"/>
        <v>28724</v>
      </c>
      <c r="AR12" s="392">
        <v>436120</v>
      </c>
      <c r="AS12" s="393">
        <v>341580</v>
      </c>
      <c r="AT12" s="564">
        <f t="shared" si="14"/>
        <v>94540</v>
      </c>
      <c r="AU12" s="206">
        <v>1218296</v>
      </c>
      <c r="AV12" s="207">
        <v>1051867</v>
      </c>
      <c r="AW12" s="564">
        <f t="shared" si="15"/>
        <v>166429</v>
      </c>
      <c r="AX12" s="206">
        <f>614269+195708</f>
        <v>809977</v>
      </c>
      <c r="AY12" s="207">
        <f>514707+43595</f>
        <v>558302</v>
      </c>
      <c r="AZ12" s="564">
        <f t="shared" si="16"/>
        <v>251675</v>
      </c>
      <c r="BA12" s="206">
        <v>386285</v>
      </c>
      <c r="BB12" s="207">
        <v>227495</v>
      </c>
      <c r="BC12" s="564">
        <f t="shared" si="17"/>
        <v>158790</v>
      </c>
      <c r="BD12" s="210">
        <v>81046</v>
      </c>
      <c r="BE12" s="207">
        <v>75996</v>
      </c>
      <c r="BF12" s="564">
        <f t="shared" si="18"/>
        <v>5050</v>
      </c>
      <c r="BG12" s="16">
        <v>1147569</v>
      </c>
      <c r="BH12" s="17">
        <v>886818</v>
      </c>
      <c r="BI12" s="223">
        <f t="shared" si="19"/>
        <v>260751</v>
      </c>
      <c r="BJ12" s="580">
        <v>145759</v>
      </c>
      <c r="BK12" s="213">
        <v>88328</v>
      </c>
      <c r="BL12" s="565">
        <f t="shared" si="20"/>
        <v>57431</v>
      </c>
      <c r="BM12" s="580">
        <v>102172</v>
      </c>
      <c r="BN12" s="213">
        <v>68448</v>
      </c>
      <c r="BO12" s="576">
        <f t="shared" si="21"/>
        <v>33724</v>
      </c>
      <c r="BP12" s="206">
        <v>792635</v>
      </c>
      <c r="BQ12" s="207">
        <v>680794</v>
      </c>
      <c r="BR12" s="652">
        <f t="shared" si="22"/>
        <v>111841</v>
      </c>
      <c r="BS12" s="215">
        <f t="shared" si="23"/>
        <v>10621037</v>
      </c>
      <c r="BT12" s="207">
        <f t="shared" si="24"/>
        <v>8509500</v>
      </c>
      <c r="BU12" s="208">
        <f t="shared" si="24"/>
        <v>2111537</v>
      </c>
      <c r="BV12" s="206">
        <v>10088891</v>
      </c>
      <c r="BW12" s="207">
        <v>9177533</v>
      </c>
      <c r="BX12" s="576">
        <f t="shared" si="25"/>
        <v>911358</v>
      </c>
      <c r="BY12" s="215">
        <f t="shared" si="26"/>
        <v>20709928</v>
      </c>
      <c r="BZ12" s="207">
        <f t="shared" si="27"/>
        <v>17687033</v>
      </c>
      <c r="CA12" s="208">
        <f t="shared" si="27"/>
        <v>3022895</v>
      </c>
    </row>
    <row r="13" spans="1:79" ht="16.5">
      <c r="A13" s="325" t="s">
        <v>154</v>
      </c>
      <c r="B13" s="204">
        <v>10523</v>
      </c>
      <c r="C13" s="205">
        <v>5320</v>
      </c>
      <c r="D13" s="364">
        <f t="shared" si="0"/>
        <v>5203</v>
      </c>
      <c r="E13" s="206">
        <v>275</v>
      </c>
      <c r="F13" s="207">
        <v>260</v>
      </c>
      <c r="G13" s="564">
        <f t="shared" si="1"/>
        <v>15</v>
      </c>
      <c r="H13" s="206">
        <v>1620</v>
      </c>
      <c r="I13" s="207">
        <v>1620</v>
      </c>
      <c r="J13" s="564">
        <f t="shared" si="2"/>
        <v>0</v>
      </c>
      <c r="K13" s="206">
        <v>20308</v>
      </c>
      <c r="L13" s="207">
        <v>10276</v>
      </c>
      <c r="M13" s="565">
        <f t="shared" si="3"/>
        <v>10032</v>
      </c>
      <c r="N13" s="206"/>
      <c r="O13" s="207"/>
      <c r="P13" s="564">
        <f t="shared" si="4"/>
        <v>0</v>
      </c>
      <c r="Q13" s="206">
        <v>4076</v>
      </c>
      <c r="R13" s="207">
        <v>3335</v>
      </c>
      <c r="S13" s="564">
        <f t="shared" si="5"/>
        <v>741</v>
      </c>
      <c r="T13" s="215"/>
      <c r="U13" s="207"/>
      <c r="V13" s="564">
        <f t="shared" si="6"/>
        <v>0</v>
      </c>
      <c r="W13" s="206">
        <v>16343</v>
      </c>
      <c r="X13" s="207">
        <v>10466</v>
      </c>
      <c r="Y13" s="564">
        <f t="shared" si="7"/>
        <v>5877</v>
      </c>
      <c r="Z13" s="206">
        <v>76039</v>
      </c>
      <c r="AA13" s="207">
        <v>68615</v>
      </c>
      <c r="AB13" s="564">
        <f t="shared" si="8"/>
        <v>7424</v>
      </c>
      <c r="AC13" s="206">
        <v>8005</v>
      </c>
      <c r="AD13" s="207">
        <v>3385</v>
      </c>
      <c r="AE13" s="564">
        <f t="shared" si="9"/>
        <v>4620</v>
      </c>
      <c r="AF13" s="206">
        <v>111612</v>
      </c>
      <c r="AG13" s="207">
        <v>32233</v>
      </c>
      <c r="AH13" s="564">
        <f t="shared" si="10"/>
        <v>79379</v>
      </c>
      <c r="AI13" s="206">
        <v>59496</v>
      </c>
      <c r="AJ13" s="207">
        <v>35492</v>
      </c>
      <c r="AK13" s="564">
        <f t="shared" si="11"/>
        <v>24004</v>
      </c>
      <c r="AL13" s="578">
        <v>29889</v>
      </c>
      <c r="AM13" s="209">
        <v>6568</v>
      </c>
      <c r="AN13" s="569">
        <f t="shared" si="12"/>
        <v>23321</v>
      </c>
      <c r="AO13" s="206"/>
      <c r="AP13" s="207"/>
      <c r="AQ13" s="564">
        <f t="shared" si="13"/>
        <v>0</v>
      </c>
      <c r="AR13" s="206">
        <v>69548</v>
      </c>
      <c r="AS13" s="207">
        <v>42215</v>
      </c>
      <c r="AT13" s="564">
        <f t="shared" si="14"/>
        <v>27333</v>
      </c>
      <c r="AU13" s="206">
        <v>44230</v>
      </c>
      <c r="AV13" s="207">
        <v>21506</v>
      </c>
      <c r="AW13" s="564">
        <f t="shared" si="15"/>
        <v>22724</v>
      </c>
      <c r="AX13" s="206">
        <v>1423</v>
      </c>
      <c r="AY13" s="207">
        <v>1423</v>
      </c>
      <c r="AZ13" s="564">
        <f t="shared" si="16"/>
        <v>0</v>
      </c>
      <c r="BA13" s="206"/>
      <c r="BB13" s="207"/>
      <c r="BC13" s="564">
        <f t="shared" si="17"/>
        <v>0</v>
      </c>
      <c r="BD13" s="210">
        <v>4103</v>
      </c>
      <c r="BE13" s="207">
        <v>3212</v>
      </c>
      <c r="BF13" s="564">
        <f t="shared" si="18"/>
        <v>891</v>
      </c>
      <c r="BG13" s="16">
        <v>2235</v>
      </c>
      <c r="BH13" s="17">
        <v>419</v>
      </c>
      <c r="BI13" s="223">
        <f t="shared" si="19"/>
        <v>1816</v>
      </c>
      <c r="BJ13" s="580">
        <v>6895</v>
      </c>
      <c r="BK13" s="213">
        <v>4672</v>
      </c>
      <c r="BL13" s="565">
        <f t="shared" si="20"/>
        <v>2223</v>
      </c>
      <c r="BM13" s="580"/>
      <c r="BN13" s="213"/>
      <c r="BO13" s="576">
        <f t="shared" si="21"/>
        <v>0</v>
      </c>
      <c r="BP13" s="206">
        <v>5455</v>
      </c>
      <c r="BQ13" s="207">
        <v>4581</v>
      </c>
      <c r="BR13" s="652">
        <f t="shared" si="22"/>
        <v>874</v>
      </c>
      <c r="BS13" s="215">
        <f t="shared" si="23"/>
        <v>472075</v>
      </c>
      <c r="BT13" s="207">
        <f t="shared" si="24"/>
        <v>255598</v>
      </c>
      <c r="BU13" s="208">
        <f t="shared" si="24"/>
        <v>216477</v>
      </c>
      <c r="BV13" s="206">
        <v>5655654</v>
      </c>
      <c r="BW13" s="207">
        <v>3567668</v>
      </c>
      <c r="BX13" s="576">
        <f t="shared" si="25"/>
        <v>2087986</v>
      </c>
      <c r="BY13" s="215">
        <f t="shared" si="26"/>
        <v>6127729</v>
      </c>
      <c r="BZ13" s="207">
        <f t="shared" si="27"/>
        <v>3823266</v>
      </c>
      <c r="CA13" s="208">
        <f t="shared" si="27"/>
        <v>2304463</v>
      </c>
    </row>
    <row r="14" spans="1:79" ht="16.5">
      <c r="A14" s="325" t="s">
        <v>155</v>
      </c>
      <c r="B14" s="204">
        <v>197242</v>
      </c>
      <c r="C14" s="205">
        <v>166273</v>
      </c>
      <c r="D14" s="364">
        <f t="shared" si="0"/>
        <v>30969</v>
      </c>
      <c r="E14" s="206">
        <v>28437</v>
      </c>
      <c r="F14" s="207">
        <v>25040</v>
      </c>
      <c r="G14" s="564">
        <f t="shared" si="1"/>
        <v>3397</v>
      </c>
      <c r="H14" s="206">
        <v>89208</v>
      </c>
      <c r="I14" s="207">
        <v>80781</v>
      </c>
      <c r="J14" s="564">
        <f t="shared" si="2"/>
        <v>8427</v>
      </c>
      <c r="K14" s="206">
        <v>204128</v>
      </c>
      <c r="L14" s="207">
        <v>179889</v>
      </c>
      <c r="M14" s="565">
        <f t="shared" si="3"/>
        <v>24239</v>
      </c>
      <c r="N14" s="206">
        <v>46515</v>
      </c>
      <c r="O14" s="207">
        <v>36646</v>
      </c>
      <c r="P14" s="564">
        <f t="shared" si="4"/>
        <v>9869</v>
      </c>
      <c r="Q14" s="206">
        <v>15179</v>
      </c>
      <c r="R14" s="207">
        <v>12312</v>
      </c>
      <c r="S14" s="564">
        <f t="shared" si="5"/>
        <v>2867</v>
      </c>
      <c r="T14" s="215">
        <v>25313</v>
      </c>
      <c r="U14" s="207">
        <v>18589</v>
      </c>
      <c r="V14" s="564">
        <f t="shared" si="6"/>
        <v>6724</v>
      </c>
      <c r="W14" s="206">
        <v>35070</v>
      </c>
      <c r="X14" s="207">
        <v>25313</v>
      </c>
      <c r="Y14" s="564">
        <f t="shared" si="7"/>
        <v>9757</v>
      </c>
      <c r="Z14" s="206">
        <v>171403</v>
      </c>
      <c r="AA14" s="207">
        <v>137644</v>
      </c>
      <c r="AB14" s="564">
        <f t="shared" si="8"/>
        <v>33759</v>
      </c>
      <c r="AC14" s="206">
        <v>36278</v>
      </c>
      <c r="AD14" s="207">
        <v>18336</v>
      </c>
      <c r="AE14" s="564">
        <f t="shared" si="9"/>
        <v>17942</v>
      </c>
      <c r="AF14" s="206">
        <v>598090</v>
      </c>
      <c r="AG14" s="207">
        <v>485936</v>
      </c>
      <c r="AH14" s="564">
        <f t="shared" si="10"/>
        <v>112154</v>
      </c>
      <c r="AI14" s="206">
        <v>375469</v>
      </c>
      <c r="AJ14" s="207">
        <v>209292</v>
      </c>
      <c r="AK14" s="564">
        <f t="shared" si="11"/>
        <v>166177</v>
      </c>
      <c r="AL14" s="578">
        <v>41685</v>
      </c>
      <c r="AM14" s="209">
        <v>38868</v>
      </c>
      <c r="AN14" s="569">
        <f t="shared" si="12"/>
        <v>2817</v>
      </c>
      <c r="AO14" s="206">
        <v>51504</v>
      </c>
      <c r="AP14" s="207">
        <v>50366</v>
      </c>
      <c r="AQ14" s="564">
        <f t="shared" si="13"/>
        <v>1138</v>
      </c>
      <c r="AR14" s="206">
        <v>146260</v>
      </c>
      <c r="AS14" s="207">
        <v>116373</v>
      </c>
      <c r="AT14" s="564">
        <f t="shared" si="14"/>
        <v>29887</v>
      </c>
      <c r="AU14" s="206">
        <v>528636</v>
      </c>
      <c r="AV14" s="207">
        <v>445728</v>
      </c>
      <c r="AW14" s="564">
        <f t="shared" si="15"/>
        <v>82908</v>
      </c>
      <c r="AX14" s="206">
        <v>146053</v>
      </c>
      <c r="AY14" s="207">
        <v>111158</v>
      </c>
      <c r="AZ14" s="564">
        <f t="shared" si="16"/>
        <v>34895</v>
      </c>
      <c r="BA14" s="206">
        <v>201126</v>
      </c>
      <c r="BB14" s="207">
        <v>146051</v>
      </c>
      <c r="BC14" s="564">
        <f t="shared" si="17"/>
        <v>55075</v>
      </c>
      <c r="BD14" s="210">
        <v>5499</v>
      </c>
      <c r="BE14" s="207">
        <v>4834</v>
      </c>
      <c r="BF14" s="564">
        <f t="shared" si="18"/>
        <v>665</v>
      </c>
      <c r="BG14" s="16">
        <v>250917</v>
      </c>
      <c r="BH14" s="17">
        <v>194297</v>
      </c>
      <c r="BI14" s="223">
        <f t="shared" si="19"/>
        <v>56620</v>
      </c>
      <c r="BJ14" s="580">
        <v>29010</v>
      </c>
      <c r="BK14" s="213">
        <v>4246</v>
      </c>
      <c r="BL14" s="565">
        <f t="shared" si="20"/>
        <v>24764</v>
      </c>
      <c r="BM14" s="580">
        <v>25175</v>
      </c>
      <c r="BN14" s="213">
        <v>12923</v>
      </c>
      <c r="BO14" s="576">
        <f t="shared" si="21"/>
        <v>12252</v>
      </c>
      <c r="BP14" s="206">
        <v>251496</v>
      </c>
      <c r="BQ14" s="207">
        <v>207111</v>
      </c>
      <c r="BR14" s="652">
        <f t="shared" si="22"/>
        <v>44385</v>
      </c>
      <c r="BS14" s="215">
        <f t="shared" si="23"/>
        <v>3499693</v>
      </c>
      <c r="BT14" s="207">
        <f t="shared" si="24"/>
        <v>2728006</v>
      </c>
      <c r="BU14" s="208">
        <f t="shared" si="24"/>
        <v>771687</v>
      </c>
      <c r="BV14" s="206">
        <v>641440</v>
      </c>
      <c r="BW14" s="207">
        <v>478679</v>
      </c>
      <c r="BX14" s="576">
        <f t="shared" si="25"/>
        <v>162761</v>
      </c>
      <c r="BY14" s="215">
        <f t="shared" si="26"/>
        <v>4141133</v>
      </c>
      <c r="BZ14" s="207">
        <f t="shared" si="27"/>
        <v>3206685</v>
      </c>
      <c r="CA14" s="208">
        <f t="shared" si="27"/>
        <v>934448</v>
      </c>
    </row>
    <row r="15" spans="1:79" ht="16.5">
      <c r="A15" s="325" t="s">
        <v>156</v>
      </c>
      <c r="B15" s="204">
        <v>362431</v>
      </c>
      <c r="C15" s="205">
        <v>301898</v>
      </c>
      <c r="D15" s="364">
        <f t="shared" si="0"/>
        <v>60533</v>
      </c>
      <c r="E15" s="206">
        <v>49008</v>
      </c>
      <c r="F15" s="207">
        <v>44985</v>
      </c>
      <c r="G15" s="564">
        <f t="shared" si="1"/>
        <v>4023</v>
      </c>
      <c r="H15" s="206">
        <v>326135</v>
      </c>
      <c r="I15" s="207">
        <v>303319</v>
      </c>
      <c r="J15" s="564">
        <f t="shared" si="2"/>
        <v>22816</v>
      </c>
      <c r="K15" s="206"/>
      <c r="L15" s="207"/>
      <c r="M15" s="565">
        <f t="shared" si="3"/>
        <v>0</v>
      </c>
      <c r="N15" s="206"/>
      <c r="O15" s="207"/>
      <c r="P15" s="564">
        <f t="shared" si="4"/>
        <v>0</v>
      </c>
      <c r="Q15" s="206"/>
      <c r="R15" s="207"/>
      <c r="S15" s="564">
        <f t="shared" si="5"/>
        <v>0</v>
      </c>
      <c r="T15" s="215"/>
      <c r="U15" s="207"/>
      <c r="V15" s="564">
        <f t="shared" si="6"/>
        <v>0</v>
      </c>
      <c r="W15" s="206"/>
      <c r="X15" s="207"/>
      <c r="Y15" s="564">
        <f t="shared" si="7"/>
        <v>0</v>
      </c>
      <c r="Z15" s="206"/>
      <c r="AA15" s="207"/>
      <c r="AB15" s="564">
        <f t="shared" si="8"/>
        <v>0</v>
      </c>
      <c r="AC15" s="206"/>
      <c r="AD15" s="207"/>
      <c r="AE15" s="564">
        <f t="shared" si="9"/>
        <v>0</v>
      </c>
      <c r="AF15" s="206"/>
      <c r="AG15" s="207"/>
      <c r="AH15" s="564">
        <f t="shared" si="10"/>
        <v>0</v>
      </c>
      <c r="AI15" s="206"/>
      <c r="AJ15" s="207"/>
      <c r="AK15" s="564">
        <f t="shared" si="11"/>
        <v>0</v>
      </c>
      <c r="AL15" s="578"/>
      <c r="AM15" s="209"/>
      <c r="AN15" s="569">
        <f t="shared" si="12"/>
        <v>0</v>
      </c>
      <c r="AO15" s="206"/>
      <c r="AP15" s="207"/>
      <c r="AQ15" s="564">
        <f t="shared" si="13"/>
        <v>0</v>
      </c>
      <c r="AR15" s="206"/>
      <c r="AS15" s="207"/>
      <c r="AT15" s="564">
        <f t="shared" si="14"/>
        <v>0</v>
      </c>
      <c r="AU15" s="206"/>
      <c r="AV15" s="207"/>
      <c r="AW15" s="564">
        <f t="shared" si="15"/>
        <v>0</v>
      </c>
      <c r="AX15" s="206"/>
      <c r="AY15" s="207"/>
      <c r="AZ15" s="564">
        <f t="shared" si="16"/>
        <v>0</v>
      </c>
      <c r="BA15" s="206"/>
      <c r="BB15" s="207"/>
      <c r="BC15" s="564">
        <f t="shared" si="17"/>
        <v>0</v>
      </c>
      <c r="BD15" s="210"/>
      <c r="BE15" s="207"/>
      <c r="BF15" s="564">
        <f t="shared" si="18"/>
        <v>0</v>
      </c>
      <c r="BG15" s="16">
        <v>157096</v>
      </c>
      <c r="BH15" s="17">
        <v>92425</v>
      </c>
      <c r="BI15" s="223">
        <f t="shared" si="19"/>
        <v>64671</v>
      </c>
      <c r="BJ15" s="580"/>
      <c r="BK15" s="213"/>
      <c r="BL15" s="565">
        <f t="shared" si="20"/>
        <v>0</v>
      </c>
      <c r="BM15" s="580"/>
      <c r="BN15" s="213"/>
      <c r="BO15" s="576">
        <f t="shared" si="21"/>
        <v>0</v>
      </c>
      <c r="BP15" s="206"/>
      <c r="BQ15" s="207"/>
      <c r="BR15" s="652">
        <f t="shared" si="22"/>
        <v>0</v>
      </c>
      <c r="BS15" s="215">
        <f t="shared" si="23"/>
        <v>894670</v>
      </c>
      <c r="BT15" s="207">
        <f t="shared" si="24"/>
        <v>742627</v>
      </c>
      <c r="BU15" s="208">
        <f t="shared" si="24"/>
        <v>152043</v>
      </c>
      <c r="BV15" s="206"/>
      <c r="BW15" s="207"/>
      <c r="BX15" s="576">
        <f t="shared" si="25"/>
        <v>0</v>
      </c>
      <c r="BY15" s="215">
        <f t="shared" si="26"/>
        <v>894670</v>
      </c>
      <c r="BZ15" s="207">
        <f t="shared" si="27"/>
        <v>742627</v>
      </c>
      <c r="CA15" s="208">
        <f t="shared" si="27"/>
        <v>152043</v>
      </c>
    </row>
    <row r="16" spans="1:79" ht="16.5">
      <c r="A16" s="325" t="s">
        <v>157</v>
      </c>
      <c r="B16" s="204"/>
      <c r="C16" s="205"/>
      <c r="D16" s="364">
        <f t="shared" si="0"/>
        <v>0</v>
      </c>
      <c r="E16" s="206"/>
      <c r="F16" s="207"/>
      <c r="G16" s="564">
        <f t="shared" si="1"/>
        <v>0</v>
      </c>
      <c r="H16" s="206"/>
      <c r="I16" s="207"/>
      <c r="J16" s="564">
        <f t="shared" si="2"/>
        <v>0</v>
      </c>
      <c r="K16" s="206"/>
      <c r="L16" s="207"/>
      <c r="M16" s="565">
        <f t="shared" si="3"/>
        <v>0</v>
      </c>
      <c r="N16" s="206"/>
      <c r="O16" s="207"/>
      <c r="P16" s="564">
        <f t="shared" si="4"/>
        <v>0</v>
      </c>
      <c r="Q16" s="206"/>
      <c r="R16" s="207"/>
      <c r="S16" s="564">
        <f t="shared" si="5"/>
        <v>0</v>
      </c>
      <c r="T16" s="215"/>
      <c r="U16" s="207"/>
      <c r="V16" s="564">
        <f t="shared" si="6"/>
        <v>0</v>
      </c>
      <c r="W16" s="206"/>
      <c r="X16" s="207"/>
      <c r="Y16" s="564">
        <f t="shared" si="7"/>
        <v>0</v>
      </c>
      <c r="Z16" s="206"/>
      <c r="AA16" s="207"/>
      <c r="AB16" s="564">
        <f t="shared" si="8"/>
        <v>0</v>
      </c>
      <c r="AC16" s="206"/>
      <c r="AD16" s="207"/>
      <c r="AE16" s="564">
        <f t="shared" si="9"/>
        <v>0</v>
      </c>
      <c r="AF16" s="206"/>
      <c r="AG16" s="207"/>
      <c r="AH16" s="564">
        <f t="shared" si="10"/>
        <v>0</v>
      </c>
      <c r="AI16" s="206"/>
      <c r="AJ16" s="207"/>
      <c r="AK16" s="564">
        <f t="shared" si="11"/>
        <v>0</v>
      </c>
      <c r="AL16" s="578">
        <v>80729</v>
      </c>
      <c r="AM16" s="209">
        <v>55359</v>
      </c>
      <c r="AN16" s="569">
        <f t="shared" si="12"/>
        <v>25370</v>
      </c>
      <c r="AO16" s="206"/>
      <c r="AP16" s="207"/>
      <c r="AQ16" s="564">
        <f t="shared" si="13"/>
        <v>0</v>
      </c>
      <c r="AR16" s="392"/>
      <c r="AS16" s="393"/>
      <c r="AT16" s="564">
        <f t="shared" si="14"/>
        <v>0</v>
      </c>
      <c r="AU16" s="206"/>
      <c r="AV16" s="207"/>
      <c r="AW16" s="564">
        <f t="shared" si="15"/>
        <v>0</v>
      </c>
      <c r="AX16" s="206"/>
      <c r="AY16" s="207"/>
      <c r="AZ16" s="564">
        <f t="shared" si="16"/>
        <v>0</v>
      </c>
      <c r="BA16" s="206"/>
      <c r="BB16" s="207"/>
      <c r="BC16" s="564">
        <f t="shared" si="17"/>
        <v>0</v>
      </c>
      <c r="BD16" s="210"/>
      <c r="BE16" s="207"/>
      <c r="BF16" s="564">
        <f t="shared" si="18"/>
        <v>0</v>
      </c>
      <c r="BG16" s="16">
        <v>191856</v>
      </c>
      <c r="BH16" s="17">
        <v>139149</v>
      </c>
      <c r="BI16" s="223">
        <f t="shared" si="19"/>
        <v>52707</v>
      </c>
      <c r="BJ16" s="580"/>
      <c r="BK16" s="213"/>
      <c r="BL16" s="565">
        <f t="shared" si="20"/>
        <v>0</v>
      </c>
      <c r="BM16" s="580">
        <v>262283</v>
      </c>
      <c r="BN16" s="213">
        <v>197362</v>
      </c>
      <c r="BO16" s="576">
        <f t="shared" si="21"/>
        <v>64921</v>
      </c>
      <c r="BP16" s="206"/>
      <c r="BQ16" s="207"/>
      <c r="BR16" s="652">
        <f t="shared" si="22"/>
        <v>0</v>
      </c>
      <c r="BS16" s="215">
        <f t="shared" si="23"/>
        <v>534868</v>
      </c>
      <c r="BT16" s="207">
        <f t="shared" si="24"/>
        <v>391870</v>
      </c>
      <c r="BU16" s="208">
        <f t="shared" si="24"/>
        <v>142998</v>
      </c>
      <c r="BV16" s="206"/>
      <c r="BW16" s="207"/>
      <c r="BX16" s="576">
        <f t="shared" si="25"/>
        <v>0</v>
      </c>
      <c r="BY16" s="215">
        <f t="shared" si="26"/>
        <v>534868</v>
      </c>
      <c r="BZ16" s="207">
        <f t="shared" si="27"/>
        <v>391870</v>
      </c>
      <c r="CA16" s="208">
        <f t="shared" si="27"/>
        <v>142998</v>
      </c>
    </row>
    <row r="17" spans="1:79" ht="16.5">
      <c r="A17" s="325" t="s">
        <v>158</v>
      </c>
      <c r="B17" s="204"/>
      <c r="C17" s="205"/>
      <c r="D17" s="364">
        <f t="shared" si="0"/>
        <v>0</v>
      </c>
      <c r="E17" s="206"/>
      <c r="F17" s="207"/>
      <c r="G17" s="564">
        <f t="shared" si="1"/>
        <v>0</v>
      </c>
      <c r="H17" s="206"/>
      <c r="I17" s="207"/>
      <c r="J17" s="564">
        <f t="shared" si="2"/>
        <v>0</v>
      </c>
      <c r="K17" s="206">
        <v>28634</v>
      </c>
      <c r="L17" s="207">
        <v>14301</v>
      </c>
      <c r="M17" s="565">
        <f t="shared" si="3"/>
        <v>14333</v>
      </c>
      <c r="N17" s="206"/>
      <c r="O17" s="207"/>
      <c r="P17" s="564">
        <f t="shared" si="4"/>
        <v>0</v>
      </c>
      <c r="Q17" s="206"/>
      <c r="R17" s="207"/>
      <c r="S17" s="564">
        <f t="shared" si="5"/>
        <v>0</v>
      </c>
      <c r="T17" s="215"/>
      <c r="U17" s="207"/>
      <c r="V17" s="564">
        <f t="shared" si="6"/>
        <v>0</v>
      </c>
      <c r="W17" s="206"/>
      <c r="X17" s="207"/>
      <c r="Y17" s="564">
        <f t="shared" si="7"/>
        <v>0</v>
      </c>
      <c r="Z17" s="206"/>
      <c r="AA17" s="207"/>
      <c r="AB17" s="564">
        <f t="shared" si="8"/>
        <v>0</v>
      </c>
      <c r="AC17" s="206"/>
      <c r="AD17" s="207"/>
      <c r="AE17" s="564">
        <f t="shared" si="9"/>
        <v>0</v>
      </c>
      <c r="AF17" s="206"/>
      <c r="AG17" s="207"/>
      <c r="AH17" s="564">
        <f t="shared" si="10"/>
        <v>0</v>
      </c>
      <c r="AI17" s="206"/>
      <c r="AJ17" s="207"/>
      <c r="AK17" s="564">
        <f t="shared" si="11"/>
        <v>0</v>
      </c>
      <c r="AL17" s="578"/>
      <c r="AM17" s="209"/>
      <c r="AN17" s="569">
        <f t="shared" si="12"/>
        <v>0</v>
      </c>
      <c r="AO17" s="206"/>
      <c r="AP17" s="207"/>
      <c r="AQ17" s="564">
        <f t="shared" si="13"/>
        <v>0</v>
      </c>
      <c r="AR17" s="392"/>
      <c r="AS17" s="393"/>
      <c r="AT17" s="564">
        <f t="shared" si="14"/>
        <v>0</v>
      </c>
      <c r="AU17" s="206"/>
      <c r="AV17" s="207"/>
      <c r="AW17" s="564">
        <f t="shared" si="15"/>
        <v>0</v>
      </c>
      <c r="AX17" s="206"/>
      <c r="AY17" s="207"/>
      <c r="AZ17" s="564">
        <f t="shared" si="16"/>
        <v>0</v>
      </c>
      <c r="BA17" s="206"/>
      <c r="BB17" s="207"/>
      <c r="BC17" s="564">
        <f t="shared" si="17"/>
        <v>0</v>
      </c>
      <c r="BD17" s="210"/>
      <c r="BE17" s="207"/>
      <c r="BF17" s="564">
        <f t="shared" si="18"/>
        <v>0</v>
      </c>
      <c r="BG17" s="16"/>
      <c r="BH17" s="17"/>
      <c r="BI17" s="223">
        <f t="shared" si="19"/>
        <v>0</v>
      </c>
      <c r="BJ17" s="580"/>
      <c r="BK17" s="213"/>
      <c r="BL17" s="565">
        <f t="shared" si="20"/>
        <v>0</v>
      </c>
      <c r="BM17" s="580"/>
      <c r="BN17" s="213"/>
      <c r="BO17" s="576">
        <f t="shared" si="21"/>
        <v>0</v>
      </c>
      <c r="BP17" s="206"/>
      <c r="BQ17" s="207"/>
      <c r="BR17" s="652">
        <f t="shared" si="22"/>
        <v>0</v>
      </c>
      <c r="BS17" s="215">
        <f t="shared" si="23"/>
        <v>28634</v>
      </c>
      <c r="BT17" s="207">
        <f t="shared" si="24"/>
        <v>14301</v>
      </c>
      <c r="BU17" s="208">
        <f t="shared" si="24"/>
        <v>14333</v>
      </c>
      <c r="BV17" s="206"/>
      <c r="BW17" s="207"/>
      <c r="BX17" s="576">
        <f t="shared" si="25"/>
        <v>0</v>
      </c>
      <c r="BY17" s="215">
        <f t="shared" si="26"/>
        <v>28634</v>
      </c>
      <c r="BZ17" s="207">
        <f t="shared" si="27"/>
        <v>14301</v>
      </c>
      <c r="CA17" s="208">
        <f t="shared" si="27"/>
        <v>14333</v>
      </c>
    </row>
    <row r="18" spans="1:79" ht="16.5">
      <c r="A18" s="325" t="s">
        <v>159</v>
      </c>
      <c r="B18" s="204"/>
      <c r="C18" s="205"/>
      <c r="D18" s="364">
        <f t="shared" si="0"/>
        <v>0</v>
      </c>
      <c r="E18" s="206"/>
      <c r="F18" s="207"/>
      <c r="G18" s="564">
        <f t="shared" si="1"/>
        <v>0</v>
      </c>
      <c r="H18" s="206"/>
      <c r="I18" s="207"/>
      <c r="J18" s="564">
        <f t="shared" si="2"/>
        <v>0</v>
      </c>
      <c r="K18" s="206">
        <v>174317</v>
      </c>
      <c r="L18" s="207">
        <v>149863</v>
      </c>
      <c r="M18" s="565">
        <f t="shared" si="3"/>
        <v>24454</v>
      </c>
      <c r="N18" s="206"/>
      <c r="O18" s="207"/>
      <c r="P18" s="564">
        <f t="shared" si="4"/>
        <v>0</v>
      </c>
      <c r="Q18" s="206"/>
      <c r="R18" s="207"/>
      <c r="S18" s="564">
        <f t="shared" si="5"/>
        <v>0</v>
      </c>
      <c r="T18" s="215"/>
      <c r="U18" s="207"/>
      <c r="V18" s="564">
        <f t="shared" si="6"/>
        <v>0</v>
      </c>
      <c r="W18" s="206"/>
      <c r="X18" s="207"/>
      <c r="Y18" s="564">
        <f t="shared" si="7"/>
        <v>0</v>
      </c>
      <c r="Z18" s="206"/>
      <c r="AA18" s="207"/>
      <c r="AB18" s="564">
        <f t="shared" si="8"/>
        <v>0</v>
      </c>
      <c r="AC18" s="206"/>
      <c r="AD18" s="207"/>
      <c r="AE18" s="564">
        <f t="shared" si="9"/>
        <v>0</v>
      </c>
      <c r="AF18" s="206"/>
      <c r="AG18" s="207"/>
      <c r="AH18" s="564">
        <f t="shared" si="10"/>
        <v>0</v>
      </c>
      <c r="AI18" s="206"/>
      <c r="AJ18" s="207"/>
      <c r="AK18" s="564">
        <f t="shared" si="11"/>
        <v>0</v>
      </c>
      <c r="AL18" s="578"/>
      <c r="AM18" s="209"/>
      <c r="AN18" s="569">
        <f t="shared" si="12"/>
        <v>0</v>
      </c>
      <c r="AO18" s="206"/>
      <c r="AP18" s="207"/>
      <c r="AQ18" s="564">
        <f t="shared" si="13"/>
        <v>0</v>
      </c>
      <c r="AR18" s="392"/>
      <c r="AS18" s="393"/>
      <c r="AT18" s="564">
        <f t="shared" si="14"/>
        <v>0</v>
      </c>
      <c r="AU18" s="206"/>
      <c r="AV18" s="207"/>
      <c r="AW18" s="564">
        <f t="shared" si="15"/>
        <v>0</v>
      </c>
      <c r="AX18" s="206"/>
      <c r="AY18" s="207"/>
      <c r="AZ18" s="564">
        <f t="shared" si="16"/>
        <v>0</v>
      </c>
      <c r="BA18" s="206"/>
      <c r="BB18" s="207"/>
      <c r="BC18" s="564">
        <f t="shared" si="17"/>
        <v>0</v>
      </c>
      <c r="BD18" s="210"/>
      <c r="BE18" s="207"/>
      <c r="BF18" s="564">
        <f t="shared" si="18"/>
        <v>0</v>
      </c>
      <c r="BG18" s="16"/>
      <c r="BH18" s="17"/>
      <c r="BI18" s="223">
        <f t="shared" si="19"/>
        <v>0</v>
      </c>
      <c r="BJ18" s="580"/>
      <c r="BK18" s="213"/>
      <c r="BL18" s="565">
        <f t="shared" si="20"/>
        <v>0</v>
      </c>
      <c r="BM18" s="580">
        <v>11323</v>
      </c>
      <c r="BN18" s="213">
        <v>7526</v>
      </c>
      <c r="BO18" s="576">
        <f t="shared" si="21"/>
        <v>3797</v>
      </c>
      <c r="BP18" s="206"/>
      <c r="BQ18" s="207"/>
      <c r="BR18" s="652">
        <f t="shared" si="22"/>
        <v>0</v>
      </c>
      <c r="BS18" s="215">
        <f t="shared" si="23"/>
        <v>185640</v>
      </c>
      <c r="BT18" s="207">
        <f t="shared" si="24"/>
        <v>157389</v>
      </c>
      <c r="BU18" s="208">
        <f t="shared" si="24"/>
        <v>28251</v>
      </c>
      <c r="BV18" s="206"/>
      <c r="BW18" s="207"/>
      <c r="BX18" s="576">
        <f t="shared" si="25"/>
        <v>0</v>
      </c>
      <c r="BY18" s="215">
        <f t="shared" si="26"/>
        <v>185640</v>
      </c>
      <c r="BZ18" s="207">
        <f t="shared" si="27"/>
        <v>157389</v>
      </c>
      <c r="CA18" s="208">
        <f t="shared" si="27"/>
        <v>28251</v>
      </c>
    </row>
    <row r="19" spans="1:79" ht="16.5">
      <c r="A19" s="325" t="s">
        <v>160</v>
      </c>
      <c r="B19" s="204"/>
      <c r="C19" s="205"/>
      <c r="D19" s="364">
        <f t="shared" si="0"/>
        <v>0</v>
      </c>
      <c r="E19" s="206"/>
      <c r="F19" s="207"/>
      <c r="G19" s="564">
        <f t="shared" si="1"/>
        <v>0</v>
      </c>
      <c r="H19" s="206"/>
      <c r="I19" s="207"/>
      <c r="J19" s="564">
        <f t="shared" si="2"/>
        <v>0</v>
      </c>
      <c r="K19" s="206">
        <v>18957</v>
      </c>
      <c r="L19" s="207">
        <v>6517</v>
      </c>
      <c r="M19" s="565">
        <f t="shared" si="3"/>
        <v>12440</v>
      </c>
      <c r="N19" s="206"/>
      <c r="O19" s="207"/>
      <c r="P19" s="564">
        <f t="shared" si="4"/>
        <v>0</v>
      </c>
      <c r="Q19" s="206"/>
      <c r="R19" s="207"/>
      <c r="S19" s="564">
        <f t="shared" si="5"/>
        <v>0</v>
      </c>
      <c r="T19" s="215"/>
      <c r="U19" s="207"/>
      <c r="V19" s="564">
        <f t="shared" si="6"/>
        <v>0</v>
      </c>
      <c r="W19" s="206"/>
      <c r="X19" s="207"/>
      <c r="Y19" s="564">
        <f t="shared" si="7"/>
        <v>0</v>
      </c>
      <c r="Z19" s="206"/>
      <c r="AA19" s="207"/>
      <c r="AB19" s="564">
        <f t="shared" si="8"/>
        <v>0</v>
      </c>
      <c r="AC19" s="206"/>
      <c r="AD19" s="207"/>
      <c r="AE19" s="564">
        <f t="shared" si="9"/>
        <v>0</v>
      </c>
      <c r="AF19" s="206"/>
      <c r="AG19" s="207"/>
      <c r="AH19" s="564">
        <f t="shared" si="10"/>
        <v>0</v>
      </c>
      <c r="AI19" s="206">
        <v>288222</v>
      </c>
      <c r="AJ19" s="207">
        <v>138624</v>
      </c>
      <c r="AK19" s="564">
        <f t="shared" si="11"/>
        <v>149598</v>
      </c>
      <c r="AL19" s="578"/>
      <c r="AM19" s="209"/>
      <c r="AN19" s="569">
        <f t="shared" si="12"/>
        <v>0</v>
      </c>
      <c r="AO19" s="206"/>
      <c r="AP19" s="207"/>
      <c r="AQ19" s="564">
        <f t="shared" si="13"/>
        <v>0</v>
      </c>
      <c r="AR19" s="392"/>
      <c r="AS19" s="393"/>
      <c r="AT19" s="564">
        <f t="shared" si="14"/>
        <v>0</v>
      </c>
      <c r="AU19" s="206"/>
      <c r="AV19" s="207"/>
      <c r="AW19" s="564">
        <f t="shared" si="15"/>
        <v>0</v>
      </c>
      <c r="AX19" s="206"/>
      <c r="AY19" s="207"/>
      <c r="AZ19" s="564">
        <f t="shared" si="16"/>
        <v>0</v>
      </c>
      <c r="BA19" s="206"/>
      <c r="BB19" s="207"/>
      <c r="BC19" s="564">
        <f t="shared" si="17"/>
        <v>0</v>
      </c>
      <c r="BD19" s="210"/>
      <c r="BE19" s="207"/>
      <c r="BF19" s="564">
        <f t="shared" si="18"/>
        <v>0</v>
      </c>
      <c r="BG19" s="16"/>
      <c r="BH19" s="17"/>
      <c r="BI19" s="223">
        <f t="shared" si="19"/>
        <v>0</v>
      </c>
      <c r="BJ19" s="580"/>
      <c r="BK19" s="213"/>
      <c r="BL19" s="565">
        <f t="shared" si="20"/>
        <v>0</v>
      </c>
      <c r="BM19" s="580"/>
      <c r="BN19" s="213"/>
      <c r="BO19" s="576">
        <f t="shared" si="21"/>
        <v>0</v>
      </c>
      <c r="BP19" s="206"/>
      <c r="BQ19" s="207"/>
      <c r="BR19" s="652">
        <f t="shared" si="22"/>
        <v>0</v>
      </c>
      <c r="BS19" s="215">
        <f t="shared" si="23"/>
        <v>307179</v>
      </c>
      <c r="BT19" s="207">
        <f t="shared" si="24"/>
        <v>145141</v>
      </c>
      <c r="BU19" s="208">
        <f t="shared" si="24"/>
        <v>162038</v>
      </c>
      <c r="BV19" s="206"/>
      <c r="BW19" s="207"/>
      <c r="BX19" s="576">
        <f t="shared" si="25"/>
        <v>0</v>
      </c>
      <c r="BY19" s="215">
        <f t="shared" si="26"/>
        <v>307179</v>
      </c>
      <c r="BZ19" s="207">
        <f t="shared" si="27"/>
        <v>145141</v>
      </c>
      <c r="CA19" s="208">
        <f t="shared" si="27"/>
        <v>162038</v>
      </c>
    </row>
    <row r="20" spans="1:79" ht="16.5">
      <c r="A20" s="325" t="s">
        <v>75</v>
      </c>
      <c r="B20" s="204"/>
      <c r="C20" s="205"/>
      <c r="D20" s="364">
        <f t="shared" si="0"/>
        <v>0</v>
      </c>
      <c r="E20" s="206"/>
      <c r="F20" s="207"/>
      <c r="G20" s="564">
        <f t="shared" si="1"/>
        <v>0</v>
      </c>
      <c r="H20" s="206"/>
      <c r="I20" s="207"/>
      <c r="J20" s="564">
        <f t="shared" si="2"/>
        <v>0</v>
      </c>
      <c r="K20" s="206"/>
      <c r="L20" s="207"/>
      <c r="M20" s="565">
        <f t="shared" si="3"/>
        <v>0</v>
      </c>
      <c r="N20" s="206"/>
      <c r="O20" s="207"/>
      <c r="P20" s="564">
        <f t="shared" si="4"/>
        <v>0</v>
      </c>
      <c r="Q20" s="206">
        <v>11585</v>
      </c>
      <c r="R20" s="207">
        <v>11063</v>
      </c>
      <c r="S20" s="564">
        <f t="shared" si="5"/>
        <v>522</v>
      </c>
      <c r="T20" s="215"/>
      <c r="U20" s="207"/>
      <c r="V20" s="208"/>
      <c r="W20" s="206"/>
      <c r="X20" s="207"/>
      <c r="Y20" s="564">
        <f t="shared" si="7"/>
        <v>0</v>
      </c>
      <c r="Z20" s="206"/>
      <c r="AA20" s="207"/>
      <c r="AB20" s="564">
        <f t="shared" si="8"/>
        <v>0</v>
      </c>
      <c r="AC20" s="206"/>
      <c r="AD20" s="207"/>
      <c r="AE20" s="564">
        <f t="shared" si="9"/>
        <v>0</v>
      </c>
      <c r="AF20" s="206"/>
      <c r="AG20" s="207"/>
      <c r="AH20" s="564">
        <f t="shared" si="10"/>
        <v>0</v>
      </c>
      <c r="AI20" s="206"/>
      <c r="AJ20" s="207"/>
      <c r="AK20" s="564">
        <f t="shared" si="11"/>
        <v>0</v>
      </c>
      <c r="AL20" s="578"/>
      <c r="AM20" s="209"/>
      <c r="AN20" s="569">
        <f t="shared" si="12"/>
        <v>0</v>
      </c>
      <c r="AO20" s="206"/>
      <c r="AP20" s="207"/>
      <c r="AQ20" s="564">
        <f t="shared" si="13"/>
        <v>0</v>
      </c>
      <c r="AR20" s="392"/>
      <c r="AS20" s="393"/>
      <c r="AT20" s="564">
        <f t="shared" si="14"/>
        <v>0</v>
      </c>
      <c r="AU20" s="206"/>
      <c r="AV20" s="207"/>
      <c r="AW20" s="564">
        <f t="shared" si="15"/>
        <v>0</v>
      </c>
      <c r="AX20" s="206"/>
      <c r="AY20" s="207"/>
      <c r="AZ20" s="564">
        <f t="shared" si="16"/>
        <v>0</v>
      </c>
      <c r="BA20" s="206"/>
      <c r="BB20" s="207"/>
      <c r="BC20" s="564">
        <f t="shared" si="17"/>
        <v>0</v>
      </c>
      <c r="BD20" s="210"/>
      <c r="BE20" s="207"/>
      <c r="BF20" s="564">
        <f t="shared" si="18"/>
        <v>0</v>
      </c>
      <c r="BG20" s="16"/>
      <c r="BH20" s="17"/>
      <c r="BI20" s="223">
        <f t="shared" si="19"/>
        <v>0</v>
      </c>
      <c r="BJ20" s="580">
        <v>43487</v>
      </c>
      <c r="BK20" s="213">
        <v>11941</v>
      </c>
      <c r="BL20" s="565">
        <f t="shared" si="20"/>
        <v>31546</v>
      </c>
      <c r="BM20" s="580"/>
      <c r="BN20" s="213"/>
      <c r="BO20" s="576">
        <f t="shared" si="21"/>
        <v>0</v>
      </c>
      <c r="BP20" s="206"/>
      <c r="BQ20" s="207"/>
      <c r="BR20" s="652">
        <f t="shared" si="22"/>
        <v>0</v>
      </c>
      <c r="BS20" s="215">
        <f t="shared" si="23"/>
        <v>55072</v>
      </c>
      <c r="BT20" s="207">
        <f t="shared" si="24"/>
        <v>23004</v>
      </c>
      <c r="BU20" s="208">
        <f t="shared" si="24"/>
        <v>32068</v>
      </c>
      <c r="BV20" s="206">
        <f>133004+28109+2786+6954+416975+416078+649+1267802+14599</f>
        <v>2286956</v>
      </c>
      <c r="BW20" s="207">
        <f>115750+27133+2544+6664+287262+294350+397+1107834+11885</f>
        <v>1853819</v>
      </c>
      <c r="BX20" s="576">
        <f t="shared" si="25"/>
        <v>433137</v>
      </c>
      <c r="BY20" s="215">
        <f t="shared" si="26"/>
        <v>2342028</v>
      </c>
      <c r="BZ20" s="207">
        <f t="shared" si="27"/>
        <v>1876823</v>
      </c>
      <c r="CA20" s="208">
        <f t="shared" si="27"/>
        <v>465205</v>
      </c>
    </row>
    <row r="21" spans="1:79" ht="16.5">
      <c r="A21" s="683" t="s">
        <v>54</v>
      </c>
      <c r="B21" s="204">
        <f>SUM(B5:B20)</f>
        <v>2772194</v>
      </c>
      <c r="C21" s="204">
        <f aca="true" t="shared" si="28" ref="C21:J21">SUM(C5:C20)</f>
        <v>2219252</v>
      </c>
      <c r="D21" s="204">
        <f t="shared" si="28"/>
        <v>552942</v>
      </c>
      <c r="E21" s="204">
        <f t="shared" si="28"/>
        <v>928750</v>
      </c>
      <c r="F21" s="204">
        <f t="shared" si="28"/>
        <v>814660</v>
      </c>
      <c r="G21" s="204">
        <f t="shared" si="28"/>
        <v>114090</v>
      </c>
      <c r="H21" s="204">
        <f t="shared" si="28"/>
        <v>1489367</v>
      </c>
      <c r="I21" s="204">
        <f t="shared" si="28"/>
        <v>1322142</v>
      </c>
      <c r="J21" s="204">
        <f t="shared" si="28"/>
        <v>167225</v>
      </c>
      <c r="K21" s="204">
        <f aca="true" t="shared" si="29" ref="K21:AP21">SUM(K5:K20)</f>
        <v>4700920</v>
      </c>
      <c r="L21" s="204">
        <f t="shared" si="29"/>
        <v>2598242</v>
      </c>
      <c r="M21" s="204">
        <f t="shared" si="29"/>
        <v>2102678</v>
      </c>
      <c r="N21" s="204">
        <f t="shared" si="29"/>
        <v>677212</v>
      </c>
      <c r="O21" s="204">
        <f t="shared" si="29"/>
        <v>569599</v>
      </c>
      <c r="P21" s="204">
        <f t="shared" si="29"/>
        <v>107613</v>
      </c>
      <c r="Q21" s="204">
        <f t="shared" si="29"/>
        <v>1264991</v>
      </c>
      <c r="R21" s="204">
        <f t="shared" si="29"/>
        <v>1160802</v>
      </c>
      <c r="S21" s="204">
        <f t="shared" si="29"/>
        <v>104189</v>
      </c>
      <c r="T21" s="204">
        <f t="shared" si="29"/>
        <v>453725</v>
      </c>
      <c r="U21" s="204">
        <f t="shared" si="29"/>
        <v>222106</v>
      </c>
      <c r="V21" s="204">
        <f t="shared" si="29"/>
        <v>231619</v>
      </c>
      <c r="W21" s="204">
        <f t="shared" si="29"/>
        <v>480372</v>
      </c>
      <c r="X21" s="204">
        <f t="shared" si="29"/>
        <v>315359</v>
      </c>
      <c r="Y21" s="204">
        <f t="shared" si="29"/>
        <v>165013</v>
      </c>
      <c r="Z21" s="204">
        <f t="shared" si="29"/>
        <v>1427954</v>
      </c>
      <c r="AA21" s="204">
        <f t="shared" si="29"/>
        <v>1163619</v>
      </c>
      <c r="AB21" s="204">
        <f t="shared" si="29"/>
        <v>264335</v>
      </c>
      <c r="AC21" s="204">
        <f t="shared" si="29"/>
        <v>504058</v>
      </c>
      <c r="AD21" s="204">
        <f t="shared" si="29"/>
        <v>333945</v>
      </c>
      <c r="AE21" s="204">
        <f t="shared" si="29"/>
        <v>170113</v>
      </c>
      <c r="AF21" s="204">
        <f t="shared" si="29"/>
        <v>7038587</v>
      </c>
      <c r="AG21" s="204">
        <f t="shared" si="29"/>
        <v>3196451</v>
      </c>
      <c r="AH21" s="204">
        <f t="shared" si="29"/>
        <v>3842136</v>
      </c>
      <c r="AI21" s="204">
        <f t="shared" si="29"/>
        <v>4647906</v>
      </c>
      <c r="AJ21" s="204">
        <f t="shared" si="29"/>
        <v>2526866</v>
      </c>
      <c r="AK21" s="204">
        <f t="shared" si="29"/>
        <v>2121040</v>
      </c>
      <c r="AL21" s="204">
        <f t="shared" si="29"/>
        <v>676950</v>
      </c>
      <c r="AM21" s="204">
        <f t="shared" si="29"/>
        <v>553757</v>
      </c>
      <c r="AN21" s="204">
        <f t="shared" si="29"/>
        <v>123193</v>
      </c>
      <c r="AO21" s="204">
        <f t="shared" si="29"/>
        <v>833944</v>
      </c>
      <c r="AP21" s="204">
        <f t="shared" si="29"/>
        <v>741508</v>
      </c>
      <c r="AQ21" s="204">
        <f aca="true" t="shared" si="30" ref="AQ21:BV21">SUM(AQ5:AQ20)</f>
        <v>92436</v>
      </c>
      <c r="AR21" s="204">
        <f t="shared" si="30"/>
        <v>2246967</v>
      </c>
      <c r="AS21" s="204">
        <f t="shared" si="30"/>
        <v>1855335</v>
      </c>
      <c r="AT21" s="204">
        <f t="shared" si="30"/>
        <v>391632</v>
      </c>
      <c r="AU21" s="204">
        <f t="shared" si="30"/>
        <v>5863786</v>
      </c>
      <c r="AV21" s="204">
        <f t="shared" si="30"/>
        <v>4559418</v>
      </c>
      <c r="AW21" s="204">
        <f t="shared" si="30"/>
        <v>1304368</v>
      </c>
      <c r="AX21" s="204">
        <f t="shared" si="30"/>
        <v>2204174</v>
      </c>
      <c r="AY21" s="204">
        <f t="shared" si="30"/>
        <v>1492240</v>
      </c>
      <c r="AZ21" s="204">
        <f t="shared" si="30"/>
        <v>711934</v>
      </c>
      <c r="BA21" s="204">
        <f t="shared" si="30"/>
        <v>1262500</v>
      </c>
      <c r="BB21" s="204">
        <f t="shared" si="30"/>
        <v>954732</v>
      </c>
      <c r="BC21" s="204">
        <f t="shared" si="30"/>
        <v>307768</v>
      </c>
      <c r="BD21" s="204">
        <f t="shared" si="30"/>
        <v>324329</v>
      </c>
      <c r="BE21" s="204">
        <f t="shared" si="30"/>
        <v>226182</v>
      </c>
      <c r="BF21" s="204">
        <f t="shared" si="30"/>
        <v>98147</v>
      </c>
      <c r="BG21" s="64">
        <f t="shared" si="30"/>
        <v>5639963</v>
      </c>
      <c r="BH21" s="64">
        <f t="shared" si="30"/>
        <v>2629734</v>
      </c>
      <c r="BI21" s="64">
        <f t="shared" si="30"/>
        <v>3010229</v>
      </c>
      <c r="BJ21" s="204">
        <f t="shared" si="30"/>
        <v>769061</v>
      </c>
      <c r="BK21" s="204">
        <f t="shared" si="30"/>
        <v>320120</v>
      </c>
      <c r="BL21" s="204">
        <f t="shared" si="30"/>
        <v>448941</v>
      </c>
      <c r="BM21" s="204">
        <f t="shared" si="30"/>
        <v>924689</v>
      </c>
      <c r="BN21" s="204">
        <f t="shared" si="30"/>
        <v>712230</v>
      </c>
      <c r="BO21" s="204">
        <f t="shared" si="30"/>
        <v>212459</v>
      </c>
      <c r="BP21" s="204">
        <f t="shared" si="30"/>
        <v>3609623</v>
      </c>
      <c r="BQ21" s="204">
        <f t="shared" si="30"/>
        <v>2515890</v>
      </c>
      <c r="BR21" s="662">
        <f t="shared" si="30"/>
        <v>1093733</v>
      </c>
      <c r="BS21" s="204">
        <f t="shared" si="30"/>
        <v>50742022</v>
      </c>
      <c r="BT21" s="204">
        <f t="shared" si="30"/>
        <v>33004189</v>
      </c>
      <c r="BU21" s="666">
        <f t="shared" si="30"/>
        <v>17737833</v>
      </c>
      <c r="BV21" s="204">
        <f t="shared" si="30"/>
        <v>51849282</v>
      </c>
      <c r="BW21" s="204">
        <f>SUM(BW5:BW20)</f>
        <v>22734529</v>
      </c>
      <c r="BX21" s="204">
        <f>SUM(BX5:BX20)</f>
        <v>29114753</v>
      </c>
      <c r="BY21" s="204">
        <f>SUM(BY5:BY20)</f>
        <v>102591304</v>
      </c>
      <c r="BZ21" s="204">
        <f>SUM(BZ5:BZ20)</f>
        <v>55738718</v>
      </c>
      <c r="CA21" s="204">
        <f>SUM(CA5:CA20)</f>
        <v>46852586</v>
      </c>
    </row>
    <row r="22" spans="1:79" ht="16.5">
      <c r="A22" s="325" t="s">
        <v>161</v>
      </c>
      <c r="B22" s="581"/>
      <c r="C22" s="220"/>
      <c r="D22" s="221">
        <v>93230</v>
      </c>
      <c r="E22" s="219"/>
      <c r="F22" s="220"/>
      <c r="G22" s="221">
        <v>24805</v>
      </c>
      <c r="H22" s="219"/>
      <c r="I22" s="220"/>
      <c r="J22" s="221">
        <v>12683</v>
      </c>
      <c r="K22" s="219">
        <v>95325</v>
      </c>
      <c r="L22" s="220"/>
      <c r="M22" s="212">
        <v>95325</v>
      </c>
      <c r="N22" s="219"/>
      <c r="O22" s="220"/>
      <c r="P22" s="221">
        <v>10019</v>
      </c>
      <c r="Q22" s="219">
        <v>1242</v>
      </c>
      <c r="R22" s="220"/>
      <c r="S22" s="221">
        <v>1242</v>
      </c>
      <c r="T22" s="581"/>
      <c r="U22" s="220"/>
      <c r="V22" s="221">
        <v>230986</v>
      </c>
      <c r="W22" s="219"/>
      <c r="X22" s="220"/>
      <c r="Y22" s="221">
        <v>25369</v>
      </c>
      <c r="Z22" s="219"/>
      <c r="AA22" s="220"/>
      <c r="AB22" s="221">
        <v>16298</v>
      </c>
      <c r="AC22" s="219"/>
      <c r="AD22" s="220"/>
      <c r="AE22" s="221">
        <v>9701</v>
      </c>
      <c r="AF22" s="219">
        <v>121609</v>
      </c>
      <c r="AG22" s="220"/>
      <c r="AH22" s="221">
        <v>121609</v>
      </c>
      <c r="AI22" s="219"/>
      <c r="AJ22" s="220"/>
      <c r="AK22" s="221">
        <v>74922</v>
      </c>
      <c r="AL22" s="219">
        <v>1178294</v>
      </c>
      <c r="AM22" s="220"/>
      <c r="AN22" s="221">
        <v>1178294</v>
      </c>
      <c r="AO22" s="219">
        <v>26091</v>
      </c>
      <c r="AP22" s="220"/>
      <c r="AQ22" s="221">
        <v>26091</v>
      </c>
      <c r="AR22" s="219"/>
      <c r="AS22" s="220"/>
      <c r="AT22" s="221">
        <v>49088</v>
      </c>
      <c r="AU22" s="219"/>
      <c r="AV22" s="220"/>
      <c r="AW22" s="221">
        <v>374164</v>
      </c>
      <c r="AX22" s="219"/>
      <c r="AY22" s="220"/>
      <c r="AZ22" s="221">
        <v>15039</v>
      </c>
      <c r="BA22" s="219"/>
      <c r="BB22" s="220"/>
      <c r="BC22" s="221">
        <v>9406</v>
      </c>
      <c r="BD22" s="219"/>
      <c r="BE22" s="220"/>
      <c r="BF22" s="221"/>
      <c r="BG22" s="16"/>
      <c r="BH22" s="33"/>
      <c r="BI22" s="18">
        <v>1462257</v>
      </c>
      <c r="BJ22" s="219">
        <v>1812</v>
      </c>
      <c r="BK22" s="220"/>
      <c r="BL22" s="221">
        <v>1812</v>
      </c>
      <c r="BM22" s="219"/>
      <c r="BN22" s="220"/>
      <c r="BO22" s="221">
        <f>4921+7156</f>
        <v>12077</v>
      </c>
      <c r="BP22" s="219"/>
      <c r="BQ22" s="220"/>
      <c r="BR22" s="663">
        <v>42986</v>
      </c>
      <c r="BS22" s="215">
        <f aca="true" t="shared" si="31" ref="BS22:BU23">B22+E22+H22+K22+N22+Q22+T22+W22+Z22+AC22+AF22+AI22+AL22+AO22+AR22+AU22+AX22+BA22+BD22+BG22+BJ22+BM22+BP22</f>
        <v>1424373</v>
      </c>
      <c r="BT22" s="207">
        <f t="shared" si="31"/>
        <v>0</v>
      </c>
      <c r="BU22" s="208">
        <f t="shared" si="31"/>
        <v>3887403</v>
      </c>
      <c r="BV22" s="219">
        <v>1999308</v>
      </c>
      <c r="BW22" s="220">
        <v>173</v>
      </c>
      <c r="BX22" s="221">
        <v>1999135</v>
      </c>
      <c r="BY22" s="215">
        <f aca="true" t="shared" si="32" ref="BY22:CA23">BS22+BV22</f>
        <v>3423681</v>
      </c>
      <c r="BZ22" s="207">
        <f t="shared" si="32"/>
        <v>173</v>
      </c>
      <c r="CA22" s="208">
        <f t="shared" si="32"/>
        <v>5886538</v>
      </c>
    </row>
    <row r="23" spans="1:79" s="546" customFormat="1" ht="17.25">
      <c r="A23" s="588" t="s">
        <v>2</v>
      </c>
      <c r="B23" s="589">
        <f aca="true" t="shared" si="33" ref="B23:H23">B21+B22</f>
        <v>2772194</v>
      </c>
      <c r="C23" s="590">
        <f t="shared" si="33"/>
        <v>2219252</v>
      </c>
      <c r="D23" s="591">
        <f t="shared" si="33"/>
        <v>646172</v>
      </c>
      <c r="E23" s="592">
        <f t="shared" si="33"/>
        <v>928750</v>
      </c>
      <c r="F23" s="590">
        <f t="shared" si="33"/>
        <v>814660</v>
      </c>
      <c r="G23" s="591">
        <f t="shared" si="33"/>
        <v>138895</v>
      </c>
      <c r="H23" s="592">
        <f t="shared" si="33"/>
        <v>1489367</v>
      </c>
      <c r="I23" s="590">
        <f aca="true" t="shared" si="34" ref="I23:BI23">I21+I22</f>
        <v>1322142</v>
      </c>
      <c r="J23" s="591">
        <f t="shared" si="34"/>
        <v>179908</v>
      </c>
      <c r="K23" s="592">
        <f t="shared" si="34"/>
        <v>4796245</v>
      </c>
      <c r="L23" s="590">
        <f t="shared" si="34"/>
        <v>2598242</v>
      </c>
      <c r="M23" s="591">
        <f t="shared" si="34"/>
        <v>2198003</v>
      </c>
      <c r="N23" s="592">
        <f t="shared" si="34"/>
        <v>677212</v>
      </c>
      <c r="O23" s="590">
        <f t="shared" si="34"/>
        <v>569599</v>
      </c>
      <c r="P23" s="591">
        <f t="shared" si="34"/>
        <v>117632</v>
      </c>
      <c r="Q23" s="592">
        <f t="shared" si="34"/>
        <v>1266233</v>
      </c>
      <c r="R23" s="590">
        <f t="shared" si="34"/>
        <v>1160802</v>
      </c>
      <c r="S23" s="591">
        <f t="shared" si="34"/>
        <v>105431</v>
      </c>
      <c r="T23" s="589">
        <f t="shared" si="34"/>
        <v>453725</v>
      </c>
      <c r="U23" s="590">
        <f t="shared" si="34"/>
        <v>222106</v>
      </c>
      <c r="V23" s="591">
        <f t="shared" si="34"/>
        <v>462605</v>
      </c>
      <c r="W23" s="592">
        <f t="shared" si="34"/>
        <v>480372</v>
      </c>
      <c r="X23" s="590">
        <f t="shared" si="34"/>
        <v>315359</v>
      </c>
      <c r="Y23" s="591">
        <f t="shared" si="34"/>
        <v>190382</v>
      </c>
      <c r="Z23" s="592">
        <f t="shared" si="34"/>
        <v>1427954</v>
      </c>
      <c r="AA23" s="590">
        <f t="shared" si="34"/>
        <v>1163619</v>
      </c>
      <c r="AB23" s="591">
        <f t="shared" si="34"/>
        <v>280633</v>
      </c>
      <c r="AC23" s="592">
        <f t="shared" si="34"/>
        <v>504058</v>
      </c>
      <c r="AD23" s="590">
        <f t="shared" si="34"/>
        <v>333945</v>
      </c>
      <c r="AE23" s="591">
        <f t="shared" si="34"/>
        <v>179814</v>
      </c>
      <c r="AF23" s="592">
        <f t="shared" si="34"/>
        <v>7160196</v>
      </c>
      <c r="AG23" s="590">
        <f t="shared" si="34"/>
        <v>3196451</v>
      </c>
      <c r="AH23" s="591">
        <f t="shared" si="34"/>
        <v>3963745</v>
      </c>
      <c r="AI23" s="592">
        <f t="shared" si="34"/>
        <v>4647906</v>
      </c>
      <c r="AJ23" s="590">
        <f t="shared" si="34"/>
        <v>2526866</v>
      </c>
      <c r="AK23" s="591">
        <f t="shared" si="34"/>
        <v>2195962</v>
      </c>
      <c r="AL23" s="592">
        <f t="shared" si="34"/>
        <v>1855244</v>
      </c>
      <c r="AM23" s="590">
        <f t="shared" si="34"/>
        <v>553757</v>
      </c>
      <c r="AN23" s="591">
        <f t="shared" si="34"/>
        <v>1301487</v>
      </c>
      <c r="AO23" s="592">
        <f t="shared" si="34"/>
        <v>860035</v>
      </c>
      <c r="AP23" s="590">
        <f t="shared" si="34"/>
        <v>741508</v>
      </c>
      <c r="AQ23" s="591">
        <f t="shared" si="34"/>
        <v>118527</v>
      </c>
      <c r="AR23" s="592">
        <f t="shared" si="34"/>
        <v>2246967</v>
      </c>
      <c r="AS23" s="590">
        <f t="shared" si="34"/>
        <v>1855335</v>
      </c>
      <c r="AT23" s="591">
        <f t="shared" si="34"/>
        <v>440720</v>
      </c>
      <c r="AU23" s="592">
        <f t="shared" si="34"/>
        <v>5863786</v>
      </c>
      <c r="AV23" s="590">
        <f t="shared" si="34"/>
        <v>4559418</v>
      </c>
      <c r="AW23" s="591">
        <f t="shared" si="34"/>
        <v>1678532</v>
      </c>
      <c r="AX23" s="592">
        <f t="shared" si="34"/>
        <v>2204174</v>
      </c>
      <c r="AY23" s="590">
        <f t="shared" si="34"/>
        <v>1492240</v>
      </c>
      <c r="AZ23" s="591">
        <f>AZ21+AZ22</f>
        <v>726973</v>
      </c>
      <c r="BA23" s="592">
        <f>BA21+BA22</f>
        <v>1262500</v>
      </c>
      <c r="BB23" s="590">
        <f t="shared" si="34"/>
        <v>954732</v>
      </c>
      <c r="BC23" s="591">
        <f t="shared" si="34"/>
        <v>317174</v>
      </c>
      <c r="BD23" s="592">
        <f t="shared" si="34"/>
        <v>324329</v>
      </c>
      <c r="BE23" s="590">
        <f t="shared" si="34"/>
        <v>226182</v>
      </c>
      <c r="BF23" s="591">
        <f t="shared" si="34"/>
        <v>98147</v>
      </c>
      <c r="BG23" s="656">
        <f t="shared" si="34"/>
        <v>5639963</v>
      </c>
      <c r="BH23" s="656">
        <f t="shared" si="34"/>
        <v>2629734</v>
      </c>
      <c r="BI23" s="656">
        <f t="shared" si="34"/>
        <v>4472486</v>
      </c>
      <c r="BJ23" s="592">
        <f>BJ21+BJ22</f>
        <v>770873</v>
      </c>
      <c r="BK23" s="590">
        <f>BK21+BK22</f>
        <v>320120</v>
      </c>
      <c r="BL23" s="590">
        <f>BL21+BL22</f>
        <v>450753</v>
      </c>
      <c r="BM23" s="592">
        <f aca="true" t="shared" si="35" ref="BM23:BR23">BM21+BM22</f>
        <v>924689</v>
      </c>
      <c r="BN23" s="590">
        <f t="shared" si="35"/>
        <v>712230</v>
      </c>
      <c r="BO23" s="591">
        <f t="shared" si="35"/>
        <v>224536</v>
      </c>
      <c r="BP23" s="592">
        <f t="shared" si="35"/>
        <v>3609623</v>
      </c>
      <c r="BQ23" s="590">
        <f t="shared" si="35"/>
        <v>2515890</v>
      </c>
      <c r="BR23" s="664">
        <f t="shared" si="35"/>
        <v>1136719</v>
      </c>
      <c r="BS23" s="595">
        <f t="shared" si="31"/>
        <v>52166395</v>
      </c>
      <c r="BT23" s="593">
        <f t="shared" si="31"/>
        <v>33004189</v>
      </c>
      <c r="BU23" s="594">
        <f t="shared" si="31"/>
        <v>21625236</v>
      </c>
      <c r="BV23" s="592">
        <f>BV21+BV22</f>
        <v>53848590</v>
      </c>
      <c r="BW23" s="590">
        <f>BW21+BW22</f>
        <v>22734702</v>
      </c>
      <c r="BX23" s="591">
        <f>BX21+BX22</f>
        <v>31113888</v>
      </c>
      <c r="BY23" s="595">
        <f t="shared" si="32"/>
        <v>106014985</v>
      </c>
      <c r="BZ23" s="593">
        <f t="shared" si="32"/>
        <v>55738891</v>
      </c>
      <c r="CA23" s="594">
        <f t="shared" si="32"/>
        <v>52739124</v>
      </c>
    </row>
    <row r="24" spans="1:79" ht="17.25">
      <c r="A24" s="326" t="s">
        <v>328</v>
      </c>
      <c r="B24" s="581">
        <v>2487045</v>
      </c>
      <c r="C24" s="220">
        <v>2067577</v>
      </c>
      <c r="D24" s="221">
        <v>491661</v>
      </c>
      <c r="E24" s="219">
        <v>901233</v>
      </c>
      <c r="F24" s="220">
        <v>785532</v>
      </c>
      <c r="G24" s="221"/>
      <c r="H24" s="219">
        <v>1564307</v>
      </c>
      <c r="I24" s="220">
        <v>1426219</v>
      </c>
      <c r="J24" s="221"/>
      <c r="K24" s="219">
        <v>4770730</v>
      </c>
      <c r="L24" s="220">
        <v>2498752</v>
      </c>
      <c r="M24" s="582"/>
      <c r="N24" s="219">
        <v>833557</v>
      </c>
      <c r="O24" s="220">
        <v>685327</v>
      </c>
      <c r="P24" s="221"/>
      <c r="Q24" s="219">
        <v>1255663</v>
      </c>
      <c r="R24" s="220">
        <v>1109277</v>
      </c>
      <c r="S24" s="221">
        <v>146386</v>
      </c>
      <c r="T24" s="581">
        <v>214575</v>
      </c>
      <c r="U24" s="220">
        <v>162325</v>
      </c>
      <c r="V24" s="221">
        <v>330388</v>
      </c>
      <c r="W24" s="219">
        <v>390542</v>
      </c>
      <c r="X24" s="220">
        <v>245198</v>
      </c>
      <c r="Y24" s="221"/>
      <c r="Z24" s="219">
        <v>1203265</v>
      </c>
      <c r="AA24" s="220">
        <v>1097449</v>
      </c>
      <c r="AB24" s="221">
        <v>163586</v>
      </c>
      <c r="AC24" s="219">
        <v>291439</v>
      </c>
      <c r="AD24" s="220">
        <v>246814</v>
      </c>
      <c r="AE24" s="221"/>
      <c r="AF24" s="219">
        <v>6916410</v>
      </c>
      <c r="AG24" s="220">
        <v>2896777</v>
      </c>
      <c r="AH24" s="221"/>
      <c r="AI24" s="219">
        <v>4577338</v>
      </c>
      <c r="AJ24" s="220">
        <v>2486032</v>
      </c>
      <c r="AK24" s="221"/>
      <c r="AL24" s="219">
        <v>630557</v>
      </c>
      <c r="AM24" s="220">
        <v>524300</v>
      </c>
      <c r="AN24" s="221"/>
      <c r="AO24" s="219">
        <v>794062</v>
      </c>
      <c r="AP24" s="220">
        <v>664456</v>
      </c>
      <c r="AQ24" s="221">
        <v>129606</v>
      </c>
      <c r="AR24" s="219">
        <v>2026062</v>
      </c>
      <c r="AS24" s="220">
        <v>1689793</v>
      </c>
      <c r="AT24" s="221"/>
      <c r="AU24" s="219">
        <v>5018752</v>
      </c>
      <c r="AV24" s="220">
        <v>4112773</v>
      </c>
      <c r="AW24" s="221"/>
      <c r="AX24" s="219">
        <v>1951479</v>
      </c>
      <c r="AY24" s="220">
        <v>1559266</v>
      </c>
      <c r="AZ24" s="221"/>
      <c r="BA24" s="219">
        <v>967320</v>
      </c>
      <c r="BB24" s="220">
        <v>668667</v>
      </c>
      <c r="BC24" s="221"/>
      <c r="BD24" s="219">
        <v>312301</v>
      </c>
      <c r="BE24" s="220">
        <v>210124</v>
      </c>
      <c r="BF24" s="221"/>
      <c r="BG24" s="657">
        <v>5206247</v>
      </c>
      <c r="BH24" s="658">
        <v>2559440</v>
      </c>
      <c r="BI24" s="659"/>
      <c r="BJ24" s="219">
        <v>636623</v>
      </c>
      <c r="BK24" s="220">
        <v>283312</v>
      </c>
      <c r="BL24" s="221"/>
      <c r="BM24" s="219">
        <v>841041</v>
      </c>
      <c r="BN24" s="220">
        <v>615695</v>
      </c>
      <c r="BO24" s="221"/>
      <c r="BP24" s="219">
        <v>3501546</v>
      </c>
      <c r="BQ24" s="220">
        <v>2416470</v>
      </c>
      <c r="BR24" s="663"/>
      <c r="BS24" s="218"/>
      <c r="BT24" s="216"/>
      <c r="BU24" s="217"/>
      <c r="BV24" s="219">
        <v>52632133</v>
      </c>
      <c r="BW24" s="220">
        <v>21959826</v>
      </c>
      <c r="BX24" s="221">
        <v>31663937</v>
      </c>
      <c r="BY24" s="218"/>
      <c r="BZ24" s="216"/>
      <c r="CA24" s="217"/>
    </row>
    <row r="25" spans="1:79" ht="17.25" thickBot="1">
      <c r="A25" s="327" t="s">
        <v>162</v>
      </c>
      <c r="B25" s="583"/>
      <c r="C25" s="584"/>
      <c r="D25" s="585"/>
      <c r="E25" s="586"/>
      <c r="F25" s="584"/>
      <c r="G25" s="585"/>
      <c r="H25" s="586"/>
      <c r="I25" s="584"/>
      <c r="J25" s="585"/>
      <c r="K25" s="586"/>
      <c r="L25" s="584"/>
      <c r="M25" s="587"/>
      <c r="N25" s="586"/>
      <c r="O25" s="584"/>
      <c r="P25" s="585"/>
      <c r="Q25" s="586"/>
      <c r="R25" s="584"/>
      <c r="S25" s="585"/>
      <c r="T25" s="583"/>
      <c r="U25" s="584"/>
      <c r="V25" s="585"/>
      <c r="W25" s="586"/>
      <c r="X25" s="584"/>
      <c r="Y25" s="585"/>
      <c r="Z25" s="586"/>
      <c r="AA25" s="584"/>
      <c r="AB25" s="585"/>
      <c r="AC25" s="586"/>
      <c r="AD25" s="584"/>
      <c r="AE25" s="585"/>
      <c r="AF25" s="586"/>
      <c r="AG25" s="584"/>
      <c r="AH25" s="585"/>
      <c r="AI25" s="586"/>
      <c r="AJ25" s="584"/>
      <c r="AK25" s="585"/>
      <c r="AL25" s="586"/>
      <c r="AM25" s="584"/>
      <c r="AN25" s="585"/>
      <c r="AO25" s="586"/>
      <c r="AP25" s="584"/>
      <c r="AQ25" s="585"/>
      <c r="AR25" s="586"/>
      <c r="AS25" s="584"/>
      <c r="AT25" s="585"/>
      <c r="AU25" s="586"/>
      <c r="AV25" s="584"/>
      <c r="AW25" s="585"/>
      <c r="AX25" s="586"/>
      <c r="AY25" s="584"/>
      <c r="AZ25" s="585"/>
      <c r="BA25" s="586"/>
      <c r="BB25" s="584"/>
      <c r="BC25" s="585"/>
      <c r="BD25" s="586"/>
      <c r="BE25" s="584"/>
      <c r="BF25" s="585"/>
      <c r="BG25" s="660"/>
      <c r="BH25" s="240"/>
      <c r="BI25" s="241"/>
      <c r="BJ25" s="586"/>
      <c r="BK25" s="584"/>
      <c r="BL25" s="585"/>
      <c r="BM25" s="586"/>
      <c r="BN25" s="584"/>
      <c r="BO25" s="585"/>
      <c r="BP25" s="586"/>
      <c r="BQ25" s="584"/>
      <c r="BR25" s="665"/>
      <c r="BS25" s="583"/>
      <c r="BT25" s="584"/>
      <c r="BU25" s="585"/>
      <c r="BV25" s="586"/>
      <c r="BW25" s="584"/>
      <c r="BX25" s="585"/>
      <c r="BY25" s="583"/>
      <c r="BZ25" s="584"/>
      <c r="CA25" s="585"/>
    </row>
    <row r="28" spans="1:78" ht="18">
      <c r="A28" s="1083" t="s">
        <v>251</v>
      </c>
      <c r="B28" s="1083"/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3"/>
      <c r="AK28" s="1083"/>
      <c r="AL28" s="1083"/>
      <c r="AM28" s="1083"/>
      <c r="AN28" s="1083"/>
      <c r="AO28" s="1083"/>
      <c r="AP28" s="1083"/>
      <c r="AQ28" s="1083"/>
      <c r="AR28" s="1083"/>
      <c r="AS28" s="1083"/>
      <c r="AT28" s="1083"/>
      <c r="AU28" s="1083"/>
      <c r="AV28" s="1083"/>
      <c r="AW28" s="1083"/>
      <c r="AX28" s="1083"/>
      <c r="AY28" s="1083"/>
      <c r="AZ28" s="1083"/>
      <c r="BA28" s="1083"/>
      <c r="BB28" s="1083"/>
      <c r="BC28" s="1083"/>
      <c r="BD28" s="1083"/>
      <c r="BE28" s="1083"/>
      <c r="BF28" s="1083"/>
      <c r="BG28" s="1083"/>
      <c r="BH28" s="1083"/>
      <c r="BI28" s="1083"/>
      <c r="BJ28" s="1083"/>
      <c r="BK28" s="1083"/>
      <c r="BL28" s="1083"/>
      <c r="BM28" s="1083"/>
      <c r="BN28" s="1083"/>
      <c r="BO28" s="1083"/>
      <c r="BP28" s="1083"/>
      <c r="BQ28" s="1083"/>
      <c r="BR28" s="1083"/>
      <c r="BS28" s="1083"/>
      <c r="BT28" s="1083"/>
      <c r="BU28" s="1083"/>
      <c r="BV28" s="1083"/>
      <c r="BW28" s="1083"/>
      <c r="BX28" s="1083"/>
      <c r="BY28" s="1083"/>
      <c r="BZ28" s="1083"/>
    </row>
    <row r="29" spans="1:78" ht="17.25" thickBot="1">
      <c r="A29" s="1084" t="s">
        <v>142</v>
      </c>
      <c r="B29" s="1084"/>
      <c r="C29" s="1084"/>
      <c r="D29" s="1084"/>
      <c r="E29" s="1084"/>
      <c r="F29" s="1084"/>
      <c r="G29" s="1084"/>
      <c r="H29" s="1084"/>
      <c r="I29" s="1084"/>
      <c r="J29" s="1084"/>
      <c r="K29" s="1084"/>
      <c r="L29" s="1084"/>
      <c r="M29" s="1084"/>
      <c r="N29" s="1084"/>
      <c r="O29" s="1084"/>
      <c r="P29" s="1084"/>
      <c r="Q29" s="1084"/>
      <c r="R29" s="1084"/>
      <c r="S29" s="1084"/>
      <c r="T29" s="1084"/>
      <c r="U29" s="1084"/>
      <c r="V29" s="1084"/>
      <c r="W29" s="1084"/>
      <c r="X29" s="1084"/>
      <c r="Y29" s="1084"/>
      <c r="Z29" s="1084"/>
      <c r="AA29" s="1084"/>
      <c r="AB29" s="1084"/>
      <c r="AC29" s="1084"/>
      <c r="AD29" s="1084"/>
      <c r="AE29" s="1084"/>
      <c r="AF29" s="1084"/>
      <c r="AG29" s="1084"/>
      <c r="AH29" s="1084"/>
      <c r="AI29" s="1084"/>
      <c r="AJ29" s="1084"/>
      <c r="AK29" s="1084"/>
      <c r="AL29" s="1084"/>
      <c r="AM29" s="1084"/>
      <c r="AN29" s="1084"/>
      <c r="AO29" s="1084"/>
      <c r="AP29" s="1084"/>
      <c r="AQ29" s="1084"/>
      <c r="AR29" s="1084"/>
      <c r="AS29" s="1084"/>
      <c r="AT29" s="1084"/>
      <c r="AU29" s="1084"/>
      <c r="AV29" s="1084"/>
      <c r="AW29" s="1084"/>
      <c r="AX29" s="1084"/>
      <c r="AY29" s="1084"/>
      <c r="AZ29" s="1084"/>
      <c r="BA29" s="1084"/>
      <c r="BB29" s="1084"/>
      <c r="BC29" s="1084"/>
      <c r="BD29" s="1084"/>
      <c r="BE29" s="1084"/>
      <c r="BF29" s="1084"/>
      <c r="BG29" s="1084"/>
      <c r="BH29" s="1084"/>
      <c r="BI29" s="1084"/>
      <c r="BJ29" s="1084"/>
      <c r="BK29" s="1084"/>
      <c r="BL29" s="1084"/>
      <c r="BM29" s="1084"/>
      <c r="BN29" s="1084"/>
      <c r="BO29" s="1084"/>
      <c r="BP29" s="1084"/>
      <c r="BQ29" s="1084"/>
      <c r="BR29" s="1084"/>
      <c r="BS29" s="1084"/>
      <c r="BT29" s="1084"/>
      <c r="BU29" s="1084"/>
      <c r="BV29" s="1084"/>
      <c r="BW29" s="1084"/>
      <c r="BX29" s="1084"/>
      <c r="BY29" s="1084"/>
      <c r="BZ29" s="1084"/>
    </row>
    <row r="30" spans="1:79" s="238" customFormat="1" ht="31.5" customHeight="1">
      <c r="A30" s="324"/>
      <c r="B30" s="1085" t="s">
        <v>117</v>
      </c>
      <c r="C30" s="1086"/>
      <c r="D30" s="1087"/>
      <c r="E30" s="1081" t="s">
        <v>118</v>
      </c>
      <c r="F30" s="1075"/>
      <c r="G30" s="1076"/>
      <c r="H30" s="1081" t="s">
        <v>119</v>
      </c>
      <c r="I30" s="1075"/>
      <c r="J30" s="1076"/>
      <c r="K30" s="1081" t="s">
        <v>120</v>
      </c>
      <c r="L30" s="1075"/>
      <c r="M30" s="1076"/>
      <c r="N30" s="1081" t="s">
        <v>121</v>
      </c>
      <c r="O30" s="1075"/>
      <c r="P30" s="1076"/>
      <c r="Q30" s="1081" t="s">
        <v>122</v>
      </c>
      <c r="R30" s="1075"/>
      <c r="S30" s="1076"/>
      <c r="T30" s="1074" t="s">
        <v>123</v>
      </c>
      <c r="U30" s="1075"/>
      <c r="V30" s="1076"/>
      <c r="W30" s="1081" t="s">
        <v>124</v>
      </c>
      <c r="X30" s="1075"/>
      <c r="Y30" s="1076"/>
      <c r="Z30" s="1081" t="s">
        <v>125</v>
      </c>
      <c r="AA30" s="1075"/>
      <c r="AB30" s="1076"/>
      <c r="AC30" s="1081" t="s">
        <v>126</v>
      </c>
      <c r="AD30" s="1075"/>
      <c r="AE30" s="1076"/>
      <c r="AF30" s="1081" t="s">
        <v>127</v>
      </c>
      <c r="AG30" s="1075"/>
      <c r="AH30" s="1076"/>
      <c r="AI30" s="1081" t="s">
        <v>128</v>
      </c>
      <c r="AJ30" s="1075"/>
      <c r="AK30" s="1076"/>
      <c r="AL30" s="1081" t="s">
        <v>129</v>
      </c>
      <c r="AM30" s="1075"/>
      <c r="AN30" s="1076"/>
      <c r="AO30" s="1081" t="s">
        <v>130</v>
      </c>
      <c r="AP30" s="1075"/>
      <c r="AQ30" s="1076"/>
      <c r="AR30" s="1077" t="s">
        <v>131</v>
      </c>
      <c r="AS30" s="1078"/>
      <c r="AT30" s="1079"/>
      <c r="AU30" s="1081" t="s">
        <v>132</v>
      </c>
      <c r="AV30" s="1075"/>
      <c r="AW30" s="1076"/>
      <c r="AX30" s="1081" t="s">
        <v>133</v>
      </c>
      <c r="AY30" s="1075"/>
      <c r="AZ30" s="1076"/>
      <c r="BA30" s="1081" t="s">
        <v>134</v>
      </c>
      <c r="BB30" s="1075"/>
      <c r="BC30" s="1076"/>
      <c r="BD30" s="1077" t="s">
        <v>135</v>
      </c>
      <c r="BE30" s="1078"/>
      <c r="BF30" s="1079"/>
      <c r="BG30" s="1081" t="s">
        <v>136</v>
      </c>
      <c r="BH30" s="1075"/>
      <c r="BI30" s="1076"/>
      <c r="BJ30" s="1081" t="s">
        <v>137</v>
      </c>
      <c r="BK30" s="1075"/>
      <c r="BL30" s="1076"/>
      <c r="BM30" s="1081" t="s">
        <v>138</v>
      </c>
      <c r="BN30" s="1075"/>
      <c r="BO30" s="1076"/>
      <c r="BP30" s="1081" t="s">
        <v>139</v>
      </c>
      <c r="BQ30" s="1075"/>
      <c r="BR30" s="1082"/>
      <c r="BS30" s="1074" t="s">
        <v>1</v>
      </c>
      <c r="BT30" s="1075"/>
      <c r="BU30" s="1076"/>
      <c r="BV30" s="1077" t="s">
        <v>140</v>
      </c>
      <c r="BW30" s="1078"/>
      <c r="BX30" s="1079"/>
      <c r="BY30" s="1080" t="s">
        <v>2</v>
      </c>
      <c r="BZ30" s="1078"/>
      <c r="CA30" s="1079"/>
    </row>
    <row r="31" spans="1:79" s="535" customFormat="1" ht="72" thickBot="1">
      <c r="A31" s="534" t="s">
        <v>0</v>
      </c>
      <c r="B31" s="556" t="s">
        <v>143</v>
      </c>
      <c r="C31" s="557" t="s">
        <v>144</v>
      </c>
      <c r="D31" s="558" t="s">
        <v>145</v>
      </c>
      <c r="E31" s="559" t="s">
        <v>143</v>
      </c>
      <c r="F31" s="557" t="s">
        <v>144</v>
      </c>
      <c r="G31" s="558" t="s">
        <v>145</v>
      </c>
      <c r="H31" s="559" t="s">
        <v>143</v>
      </c>
      <c r="I31" s="557" t="s">
        <v>144</v>
      </c>
      <c r="J31" s="558" t="s">
        <v>145</v>
      </c>
      <c r="K31" s="559" t="s">
        <v>143</v>
      </c>
      <c r="L31" s="557" t="s">
        <v>144</v>
      </c>
      <c r="M31" s="560" t="s">
        <v>145</v>
      </c>
      <c r="N31" s="559" t="s">
        <v>143</v>
      </c>
      <c r="O31" s="557" t="s">
        <v>144</v>
      </c>
      <c r="P31" s="558" t="s">
        <v>145</v>
      </c>
      <c r="Q31" s="559" t="s">
        <v>143</v>
      </c>
      <c r="R31" s="557" t="s">
        <v>144</v>
      </c>
      <c r="S31" s="558" t="s">
        <v>145</v>
      </c>
      <c r="T31" s="556" t="s">
        <v>143</v>
      </c>
      <c r="U31" s="557" t="s">
        <v>144</v>
      </c>
      <c r="V31" s="558" t="s">
        <v>145</v>
      </c>
      <c r="W31" s="559" t="s">
        <v>143</v>
      </c>
      <c r="X31" s="557" t="s">
        <v>144</v>
      </c>
      <c r="Y31" s="558" t="s">
        <v>145</v>
      </c>
      <c r="Z31" s="559" t="s">
        <v>143</v>
      </c>
      <c r="AA31" s="557" t="s">
        <v>144</v>
      </c>
      <c r="AB31" s="558" t="s">
        <v>145</v>
      </c>
      <c r="AC31" s="559" t="s">
        <v>143</v>
      </c>
      <c r="AD31" s="557" t="s">
        <v>144</v>
      </c>
      <c r="AE31" s="558" t="s">
        <v>145</v>
      </c>
      <c r="AF31" s="559" t="s">
        <v>143</v>
      </c>
      <c r="AG31" s="557" t="s">
        <v>144</v>
      </c>
      <c r="AH31" s="558" t="s">
        <v>145</v>
      </c>
      <c r="AI31" s="559" t="s">
        <v>143</v>
      </c>
      <c r="AJ31" s="557" t="s">
        <v>144</v>
      </c>
      <c r="AK31" s="558" t="s">
        <v>145</v>
      </c>
      <c r="AL31" s="559" t="s">
        <v>143</v>
      </c>
      <c r="AM31" s="557" t="s">
        <v>144</v>
      </c>
      <c r="AN31" s="558" t="s">
        <v>145</v>
      </c>
      <c r="AO31" s="559" t="s">
        <v>143</v>
      </c>
      <c r="AP31" s="557" t="s">
        <v>144</v>
      </c>
      <c r="AQ31" s="558" t="s">
        <v>145</v>
      </c>
      <c r="AR31" s="559" t="s">
        <v>143</v>
      </c>
      <c r="AS31" s="557" t="s">
        <v>144</v>
      </c>
      <c r="AT31" s="558" t="s">
        <v>145</v>
      </c>
      <c r="AU31" s="559" t="s">
        <v>143</v>
      </c>
      <c r="AV31" s="557" t="s">
        <v>144</v>
      </c>
      <c r="AW31" s="558" t="s">
        <v>145</v>
      </c>
      <c r="AX31" s="559" t="s">
        <v>143</v>
      </c>
      <c r="AY31" s="557" t="s">
        <v>144</v>
      </c>
      <c r="AZ31" s="558" t="s">
        <v>145</v>
      </c>
      <c r="BA31" s="559" t="s">
        <v>143</v>
      </c>
      <c r="BB31" s="557" t="s">
        <v>144</v>
      </c>
      <c r="BC31" s="558" t="s">
        <v>145</v>
      </c>
      <c r="BD31" s="559" t="s">
        <v>143</v>
      </c>
      <c r="BE31" s="557" t="s">
        <v>144</v>
      </c>
      <c r="BF31" s="558" t="s">
        <v>145</v>
      </c>
      <c r="BG31" s="559" t="s">
        <v>143</v>
      </c>
      <c r="BH31" s="557" t="s">
        <v>144</v>
      </c>
      <c r="BI31" s="558" t="s">
        <v>145</v>
      </c>
      <c r="BJ31" s="559" t="s">
        <v>143</v>
      </c>
      <c r="BK31" s="557" t="s">
        <v>144</v>
      </c>
      <c r="BL31" s="558" t="s">
        <v>145</v>
      </c>
      <c r="BM31" s="559" t="s">
        <v>143</v>
      </c>
      <c r="BN31" s="557" t="s">
        <v>144</v>
      </c>
      <c r="BO31" s="558" t="s">
        <v>145</v>
      </c>
      <c r="BP31" s="559" t="s">
        <v>143</v>
      </c>
      <c r="BQ31" s="557" t="s">
        <v>144</v>
      </c>
      <c r="BR31" s="661" t="s">
        <v>145</v>
      </c>
      <c r="BS31" s="556" t="s">
        <v>143</v>
      </c>
      <c r="BT31" s="557" t="s">
        <v>144</v>
      </c>
      <c r="BU31" s="558" t="s">
        <v>145</v>
      </c>
      <c r="BV31" s="559" t="s">
        <v>143</v>
      </c>
      <c r="BW31" s="557" t="s">
        <v>144</v>
      </c>
      <c r="BX31" s="558" t="s">
        <v>145</v>
      </c>
      <c r="BY31" s="556" t="s">
        <v>143</v>
      </c>
      <c r="BZ31" s="557" t="s">
        <v>144</v>
      </c>
      <c r="CA31" s="558" t="s">
        <v>145</v>
      </c>
    </row>
    <row r="32" spans="1:79" ht="16.5">
      <c r="A32" s="328" t="s">
        <v>146</v>
      </c>
      <c r="B32" s="561"/>
      <c r="C32" s="363"/>
      <c r="D32" s="364">
        <f>B32-C32</f>
        <v>0</v>
      </c>
      <c r="E32" s="562"/>
      <c r="F32" s="563"/>
      <c r="G32" s="564">
        <f>E32-F32</f>
        <v>0</v>
      </c>
      <c r="H32" s="562"/>
      <c r="I32" s="563"/>
      <c r="J32" s="564">
        <f>H32-I32</f>
        <v>0</v>
      </c>
      <c r="K32" s="562"/>
      <c r="L32" s="563"/>
      <c r="M32" s="565">
        <f>K32-L32</f>
        <v>0</v>
      </c>
      <c r="N32" s="562"/>
      <c r="O32" s="563"/>
      <c r="P32" s="564">
        <f>N32-O32</f>
        <v>0</v>
      </c>
      <c r="Q32" s="562"/>
      <c r="R32" s="563"/>
      <c r="S32" s="564">
        <f>Q32-R32</f>
        <v>0</v>
      </c>
      <c r="T32" s="566"/>
      <c r="U32" s="563"/>
      <c r="V32" s="564">
        <f>T32-U32</f>
        <v>0</v>
      </c>
      <c r="W32" s="562"/>
      <c r="X32" s="563"/>
      <c r="Y32" s="564">
        <f>W32-X32</f>
        <v>0</v>
      </c>
      <c r="Z32" s="562"/>
      <c r="AA32" s="563"/>
      <c r="AB32" s="564">
        <f>Z32-AA32</f>
        <v>0</v>
      </c>
      <c r="AC32" s="562"/>
      <c r="AD32" s="563"/>
      <c r="AE32" s="564">
        <f>AC32-AD32</f>
        <v>0</v>
      </c>
      <c r="AF32" s="562"/>
      <c r="AG32" s="563"/>
      <c r="AH32" s="564">
        <f>AF32-AG32</f>
        <v>0</v>
      </c>
      <c r="AI32" s="562"/>
      <c r="AJ32" s="563"/>
      <c r="AK32" s="564">
        <f>AI32-AJ32</f>
        <v>0</v>
      </c>
      <c r="AL32" s="567"/>
      <c r="AM32" s="568"/>
      <c r="AN32" s="569">
        <f>AL32-AM32</f>
        <v>0</v>
      </c>
      <c r="AO32" s="562"/>
      <c r="AP32" s="563"/>
      <c r="AQ32" s="564">
        <f>AO32-AP32</f>
        <v>0</v>
      </c>
      <c r="AR32" s="562"/>
      <c r="AS32" s="563"/>
      <c r="AT32" s="564">
        <f>AR32-AS32</f>
        <v>0</v>
      </c>
      <c r="AU32" s="562"/>
      <c r="AV32" s="563"/>
      <c r="AW32" s="564">
        <f>AU32-AV32</f>
        <v>0</v>
      </c>
      <c r="AX32" s="562"/>
      <c r="AY32" s="563"/>
      <c r="AZ32" s="564">
        <f>AX32-AY32</f>
        <v>0</v>
      </c>
      <c r="BA32" s="562"/>
      <c r="BB32" s="563"/>
      <c r="BC32" s="564">
        <f>BA32-BB32</f>
        <v>0</v>
      </c>
      <c r="BD32" s="570"/>
      <c r="BE32" s="563"/>
      <c r="BF32" s="564">
        <f>BD32-BE32</f>
        <v>0</v>
      </c>
      <c r="BG32" s="571"/>
      <c r="BH32" s="226"/>
      <c r="BI32" s="223">
        <f>BG32-BH32</f>
        <v>0</v>
      </c>
      <c r="BJ32" s="572"/>
      <c r="BK32" s="573"/>
      <c r="BL32" s="565">
        <f>BJ32-BK32</f>
        <v>0</v>
      </c>
      <c r="BM32" s="574"/>
      <c r="BN32" s="575"/>
      <c r="BO32" s="576">
        <f>BM32-BN32</f>
        <v>0</v>
      </c>
      <c r="BP32" s="562"/>
      <c r="BQ32" s="563"/>
      <c r="BR32" s="652">
        <f>BP32-BQ32</f>
        <v>0</v>
      </c>
      <c r="BS32" s="566"/>
      <c r="BT32" s="563"/>
      <c r="BU32" s="564"/>
      <c r="BV32" s="574"/>
      <c r="BW32" s="575"/>
      <c r="BX32" s="576">
        <f>BV32-BW32</f>
        <v>0</v>
      </c>
      <c r="BY32" s="566"/>
      <c r="BZ32" s="563"/>
      <c r="CA32" s="577"/>
    </row>
    <row r="33" spans="1:79" ht="16.5">
      <c r="A33" s="325" t="s">
        <v>147</v>
      </c>
      <c r="B33" s="204">
        <v>1576039</v>
      </c>
      <c r="C33" s="205">
        <v>1229570</v>
      </c>
      <c r="D33" s="364">
        <f aca="true" t="shared" si="36" ref="D33:D47">B33-C33</f>
        <v>346469</v>
      </c>
      <c r="E33" s="206">
        <v>808273</v>
      </c>
      <c r="F33" s="207">
        <v>709081</v>
      </c>
      <c r="G33" s="208">
        <f aca="true" t="shared" si="37" ref="G33:G47">E33-F33</f>
        <v>99192</v>
      </c>
      <c r="H33" s="206">
        <v>458519</v>
      </c>
      <c r="I33" s="207">
        <v>375062</v>
      </c>
      <c r="J33" s="208">
        <f aca="true" t="shared" si="38" ref="J33:J47">H33-I33</f>
        <v>83457</v>
      </c>
      <c r="K33" s="206">
        <v>158879</v>
      </c>
      <c r="L33" s="207">
        <v>139065</v>
      </c>
      <c r="M33" s="212">
        <f aca="true" t="shared" si="39" ref="M33:M47">K33-L33</f>
        <v>19814</v>
      </c>
      <c r="N33" s="206">
        <v>308026</v>
      </c>
      <c r="O33" s="207">
        <v>247603</v>
      </c>
      <c r="P33" s="208">
        <f aca="true" t="shared" si="40" ref="P33:P47">N33-O33</f>
        <v>60423</v>
      </c>
      <c r="Q33" s="206">
        <v>828591</v>
      </c>
      <c r="R33" s="208">
        <v>814856</v>
      </c>
      <c r="S33" s="208">
        <f aca="true" t="shared" si="41" ref="S33:S47">Q33-R33</f>
        <v>13735</v>
      </c>
      <c r="T33" s="215">
        <v>449305</v>
      </c>
      <c r="U33" s="207">
        <v>169721</v>
      </c>
      <c r="V33" s="208">
        <f aca="true" t="shared" si="42" ref="V33:V47">T33-U33</f>
        <v>279584</v>
      </c>
      <c r="W33" s="206">
        <v>232466</v>
      </c>
      <c r="X33" s="207">
        <v>145544</v>
      </c>
      <c r="Y33" s="208">
        <f aca="true" t="shared" si="43" ref="Y33:Y47">W33-X33</f>
        <v>86922</v>
      </c>
      <c r="Z33" s="206">
        <v>358751</v>
      </c>
      <c r="AA33" s="207">
        <v>291513</v>
      </c>
      <c r="AB33" s="208">
        <f aca="true" t="shared" si="44" ref="AB33:AB41">Z33-AA33</f>
        <v>67238</v>
      </c>
      <c r="AC33" s="206">
        <v>402790</v>
      </c>
      <c r="AD33" s="207">
        <v>316054</v>
      </c>
      <c r="AE33" s="208">
        <f aca="true" t="shared" si="45" ref="AE33:AE47">AC33-AD33</f>
        <v>86736</v>
      </c>
      <c r="AF33" s="206">
        <v>1557287</v>
      </c>
      <c r="AG33" s="207">
        <v>1128050</v>
      </c>
      <c r="AH33" s="208">
        <f aca="true" t="shared" si="46" ref="AH33:AH47">AF33-AG33</f>
        <v>429237</v>
      </c>
      <c r="AI33" s="206">
        <v>1168726</v>
      </c>
      <c r="AJ33" s="207">
        <v>947989</v>
      </c>
      <c r="AK33" s="208">
        <f aca="true" t="shared" si="47" ref="AK33:AK47">AI33-AJ33</f>
        <v>220737</v>
      </c>
      <c r="AL33" s="578">
        <v>386798</v>
      </c>
      <c r="AM33" s="209">
        <v>315785</v>
      </c>
      <c r="AN33" s="579">
        <f aca="true" t="shared" si="48" ref="AN33:AN47">AL33-AM33</f>
        <v>71013</v>
      </c>
      <c r="AO33" s="206">
        <v>355354</v>
      </c>
      <c r="AP33" s="207">
        <v>287405</v>
      </c>
      <c r="AQ33" s="208">
        <f aca="true" t="shared" si="49" ref="AQ33:AQ47">AO33-AP33</f>
        <v>67949</v>
      </c>
      <c r="AR33" s="206">
        <v>1391346</v>
      </c>
      <c r="AS33" s="207">
        <v>1170028</v>
      </c>
      <c r="AT33" s="208">
        <f aca="true" t="shared" si="50" ref="AT33:AT47">AR33-AS33</f>
        <v>221318</v>
      </c>
      <c r="AU33" s="206">
        <v>3141336</v>
      </c>
      <c r="AV33" s="207">
        <v>2109824</v>
      </c>
      <c r="AW33" s="208">
        <f aca="true" t="shared" si="51" ref="AW33:AW47">AU33-AV33</f>
        <v>1031512</v>
      </c>
      <c r="AX33" s="206">
        <v>860411</v>
      </c>
      <c r="AY33" s="207">
        <v>728164</v>
      </c>
      <c r="AZ33" s="208">
        <f aca="true" t="shared" si="52" ref="AZ33:AZ47">AX33-AY33</f>
        <v>132247</v>
      </c>
      <c r="BA33" s="206">
        <v>422202</v>
      </c>
      <c r="BB33" s="207">
        <v>321071</v>
      </c>
      <c r="BC33" s="208">
        <f aca="true" t="shared" si="53" ref="BC33:BC47">BA33-BB33</f>
        <v>101131</v>
      </c>
      <c r="BD33" s="210">
        <v>176896</v>
      </c>
      <c r="BE33" s="207">
        <v>147511</v>
      </c>
      <c r="BF33" s="221">
        <f aca="true" t="shared" si="54" ref="BF33:BF47">BD33-BE33</f>
        <v>29385</v>
      </c>
      <c r="BG33" s="16">
        <v>1340786</v>
      </c>
      <c r="BH33" s="17">
        <v>1107143</v>
      </c>
      <c r="BI33" s="18">
        <f aca="true" t="shared" si="55" ref="BI33:BI47">BG33-BH33</f>
        <v>233643</v>
      </c>
      <c r="BJ33" s="580">
        <v>193305</v>
      </c>
      <c r="BK33" s="213">
        <v>181522</v>
      </c>
      <c r="BL33" s="214">
        <f aca="true" t="shared" si="56" ref="BL33:BL47">BJ33-BK33</f>
        <v>11783</v>
      </c>
      <c r="BM33" s="580">
        <v>452138</v>
      </c>
      <c r="BN33" s="213">
        <v>387377</v>
      </c>
      <c r="BO33" s="214">
        <f aca="true" t="shared" si="57" ref="BO33:BO47">BM33-BN33</f>
        <v>64761</v>
      </c>
      <c r="BP33" s="206">
        <v>1069173</v>
      </c>
      <c r="BQ33" s="207">
        <v>933415</v>
      </c>
      <c r="BR33" s="358">
        <f aca="true" t="shared" si="58" ref="BR33:BR47">BP33-BQ33</f>
        <v>135758</v>
      </c>
      <c r="BS33" s="215">
        <f aca="true" t="shared" si="59" ref="BS33:BS47">B33+E33+H33+K33+N33+Q33+T33+W33+Z33+AC33+AF33+AI33+AL33+AO33+AR33+AU33+AX33+BA33+BD33+BG33+BJ33+BM33+BP33</f>
        <v>18097397</v>
      </c>
      <c r="BT33" s="207">
        <f aca="true" t="shared" si="60" ref="BT33:BT47">C33+F33+I33+L33+O33+R33+U33+X33+AA33+AD33+AG33+AJ33+AM33+AP33+AS33+AV33+AY33+BB33+BE33+BH33+BK33+BN33+BQ33</f>
        <v>14203353</v>
      </c>
      <c r="BU33" s="208">
        <f aca="true" t="shared" si="61" ref="BU33:BU47">D33+G33+J33+M33+P33+S33+V33+Y33+AB33+AE33+AH33+AK33+AN33+AQ33+AT33+AW33+AZ33+BC33+BF33+BI33+BL33+BO33+BR33</f>
        <v>3894044</v>
      </c>
      <c r="BV33" s="580">
        <v>499114</v>
      </c>
      <c r="BW33" s="213">
        <v>37814</v>
      </c>
      <c r="BX33" s="214">
        <f aca="true" t="shared" si="62" ref="BX33:BX47">BV33-BW33</f>
        <v>461300</v>
      </c>
      <c r="BY33" s="215">
        <f aca="true" t="shared" si="63" ref="BY33:BY47">BS33+BV33</f>
        <v>18596511</v>
      </c>
      <c r="BZ33" s="207">
        <f aca="true" t="shared" si="64" ref="BZ33:BZ47">BT33+BW33</f>
        <v>14241167</v>
      </c>
      <c r="CA33" s="208">
        <f aca="true" t="shared" si="65" ref="CA33:CA47">BU33+BX33</f>
        <v>4355344</v>
      </c>
    </row>
    <row r="34" spans="1:79" ht="16.5">
      <c r="A34" s="325" t="s">
        <v>148</v>
      </c>
      <c r="B34" s="204"/>
      <c r="C34" s="205"/>
      <c r="D34" s="364">
        <f t="shared" si="36"/>
        <v>0</v>
      </c>
      <c r="E34" s="206"/>
      <c r="F34" s="207"/>
      <c r="G34" s="208">
        <f t="shared" si="37"/>
        <v>0</v>
      </c>
      <c r="H34" s="206"/>
      <c r="I34" s="207"/>
      <c r="J34" s="208">
        <f t="shared" si="38"/>
        <v>0</v>
      </c>
      <c r="K34" s="206">
        <v>19039</v>
      </c>
      <c r="L34" s="207"/>
      <c r="M34" s="212">
        <f t="shared" si="39"/>
        <v>19039</v>
      </c>
      <c r="N34" s="206"/>
      <c r="O34" s="207"/>
      <c r="P34" s="208">
        <f t="shared" si="40"/>
        <v>0</v>
      </c>
      <c r="Q34" s="206"/>
      <c r="R34" s="208"/>
      <c r="S34" s="208">
        <f t="shared" si="41"/>
        <v>0</v>
      </c>
      <c r="T34" s="215"/>
      <c r="U34" s="207"/>
      <c r="V34" s="208">
        <f t="shared" si="42"/>
        <v>0</v>
      </c>
      <c r="W34" s="206"/>
      <c r="X34" s="207"/>
      <c r="Y34" s="208">
        <f t="shared" si="43"/>
        <v>0</v>
      </c>
      <c r="Z34" s="206"/>
      <c r="AA34" s="207"/>
      <c r="AB34" s="208">
        <f t="shared" si="44"/>
        <v>0</v>
      </c>
      <c r="AC34" s="206"/>
      <c r="AD34" s="207"/>
      <c r="AE34" s="208">
        <f t="shared" si="45"/>
        <v>0</v>
      </c>
      <c r="AF34" s="206"/>
      <c r="AG34" s="207"/>
      <c r="AH34" s="208">
        <f t="shared" si="46"/>
        <v>0</v>
      </c>
      <c r="AI34" s="206">
        <v>903280</v>
      </c>
      <c r="AJ34" s="207"/>
      <c r="AK34" s="208">
        <f t="shared" si="47"/>
        <v>903280</v>
      </c>
      <c r="AL34" s="578">
        <v>22447</v>
      </c>
      <c r="AM34" s="209">
        <v>15268</v>
      </c>
      <c r="AN34" s="579">
        <f t="shared" si="48"/>
        <v>7179</v>
      </c>
      <c r="AO34" s="206"/>
      <c r="AP34" s="207"/>
      <c r="AQ34" s="208">
        <f t="shared" si="49"/>
        <v>0</v>
      </c>
      <c r="AR34" s="392"/>
      <c r="AS34" s="393"/>
      <c r="AT34" s="208">
        <f t="shared" si="50"/>
        <v>0</v>
      </c>
      <c r="AU34" s="206"/>
      <c r="AV34" s="207"/>
      <c r="AW34" s="208">
        <f t="shared" si="51"/>
        <v>0</v>
      </c>
      <c r="AX34" s="206"/>
      <c r="AY34" s="207"/>
      <c r="AZ34" s="208">
        <f t="shared" si="52"/>
        <v>0</v>
      </c>
      <c r="BA34" s="206"/>
      <c r="BB34" s="207"/>
      <c r="BC34" s="208">
        <f t="shared" si="53"/>
        <v>0</v>
      </c>
      <c r="BD34" s="210"/>
      <c r="BE34" s="207"/>
      <c r="BF34" s="221">
        <f t="shared" si="54"/>
        <v>0</v>
      </c>
      <c r="BG34" s="16">
        <v>1762522</v>
      </c>
      <c r="BH34" s="81"/>
      <c r="BI34" s="18">
        <f t="shared" si="55"/>
        <v>1762522</v>
      </c>
      <c r="BJ34" s="580">
        <v>56334</v>
      </c>
      <c r="BK34" s="213"/>
      <c r="BL34" s="214">
        <f t="shared" si="56"/>
        <v>56334</v>
      </c>
      <c r="BM34" s="580"/>
      <c r="BN34" s="213"/>
      <c r="BO34" s="214">
        <f t="shared" si="57"/>
        <v>0</v>
      </c>
      <c r="BP34" s="206"/>
      <c r="BQ34" s="207"/>
      <c r="BR34" s="358">
        <f t="shared" si="58"/>
        <v>0</v>
      </c>
      <c r="BS34" s="215">
        <f t="shared" si="59"/>
        <v>2763622</v>
      </c>
      <c r="BT34" s="207">
        <f t="shared" si="60"/>
        <v>15268</v>
      </c>
      <c r="BU34" s="208">
        <f t="shared" si="61"/>
        <v>2748354</v>
      </c>
      <c r="BV34" s="206">
        <v>1249309</v>
      </c>
      <c r="BW34" s="207">
        <v>5931</v>
      </c>
      <c r="BX34" s="214">
        <f t="shared" si="62"/>
        <v>1243378</v>
      </c>
      <c r="BY34" s="215">
        <f t="shared" si="63"/>
        <v>4012931</v>
      </c>
      <c r="BZ34" s="207">
        <f t="shared" si="64"/>
        <v>21199</v>
      </c>
      <c r="CA34" s="208">
        <f t="shared" si="65"/>
        <v>3991732</v>
      </c>
    </row>
    <row r="35" spans="1:79" ht="16.5">
      <c r="A35" s="325" t="s">
        <v>149</v>
      </c>
      <c r="B35" s="204"/>
      <c r="C35" s="205"/>
      <c r="D35" s="364">
        <f t="shared" si="36"/>
        <v>0</v>
      </c>
      <c r="E35" s="206"/>
      <c r="F35" s="207"/>
      <c r="G35" s="208">
        <f t="shared" si="37"/>
        <v>0</v>
      </c>
      <c r="H35" s="206"/>
      <c r="I35" s="207"/>
      <c r="J35" s="208">
        <f t="shared" si="38"/>
        <v>0</v>
      </c>
      <c r="K35" s="206">
        <v>313958</v>
      </c>
      <c r="L35" s="207">
        <v>275826</v>
      </c>
      <c r="M35" s="212">
        <f t="shared" si="39"/>
        <v>38132</v>
      </c>
      <c r="N35" s="206">
        <v>124360</v>
      </c>
      <c r="O35" s="207">
        <v>114881</v>
      </c>
      <c r="P35" s="208">
        <f t="shared" si="40"/>
        <v>9479</v>
      </c>
      <c r="Q35" s="206">
        <v>48876</v>
      </c>
      <c r="R35" s="208">
        <v>31028</v>
      </c>
      <c r="S35" s="208">
        <f t="shared" si="41"/>
        <v>17848</v>
      </c>
      <c r="T35" s="215">
        <v>116711</v>
      </c>
      <c r="U35" s="207">
        <v>48640</v>
      </c>
      <c r="V35" s="208">
        <f t="shared" si="42"/>
        <v>68071</v>
      </c>
      <c r="W35" s="206">
        <v>113554</v>
      </c>
      <c r="X35" s="207">
        <v>55100</v>
      </c>
      <c r="Y35" s="208">
        <f t="shared" si="43"/>
        <v>58454</v>
      </c>
      <c r="Z35" s="206">
        <v>556219</v>
      </c>
      <c r="AA35" s="207">
        <v>475273</v>
      </c>
      <c r="AB35" s="208">
        <f t="shared" si="44"/>
        <v>80946</v>
      </c>
      <c r="AC35" s="206">
        <v>50855</v>
      </c>
      <c r="AD35" s="207">
        <v>21665</v>
      </c>
      <c r="AE35" s="208">
        <f t="shared" si="45"/>
        <v>29190</v>
      </c>
      <c r="AF35" s="206">
        <v>15252</v>
      </c>
      <c r="AG35" s="207">
        <v>10962</v>
      </c>
      <c r="AH35" s="208">
        <f t="shared" si="46"/>
        <v>4290</v>
      </c>
      <c r="AI35" s="206">
        <v>1386439</v>
      </c>
      <c r="AJ35" s="207">
        <v>1076353</v>
      </c>
      <c r="AK35" s="208">
        <f t="shared" si="47"/>
        <v>310086</v>
      </c>
      <c r="AL35" s="206"/>
      <c r="AM35" s="207"/>
      <c r="AN35" s="579">
        <f t="shared" si="48"/>
        <v>0</v>
      </c>
      <c r="AO35" s="206">
        <v>157200</v>
      </c>
      <c r="AP35" s="207">
        <v>139787</v>
      </c>
      <c r="AQ35" s="208">
        <f t="shared" si="49"/>
        <v>17413</v>
      </c>
      <c r="AR35" s="206"/>
      <c r="AS35" s="207"/>
      <c r="AT35" s="208">
        <f t="shared" si="50"/>
        <v>0</v>
      </c>
      <c r="AU35" s="206">
        <v>1186678</v>
      </c>
      <c r="AV35" s="207">
        <v>1011078</v>
      </c>
      <c r="AW35" s="208">
        <f t="shared" si="51"/>
        <v>175600</v>
      </c>
      <c r="AX35" s="206">
        <v>151776</v>
      </c>
      <c r="AY35" s="207">
        <v>95504</v>
      </c>
      <c r="AZ35" s="208">
        <f t="shared" si="52"/>
        <v>56272</v>
      </c>
      <c r="BA35" s="206">
        <v>101682</v>
      </c>
      <c r="BB35" s="207">
        <v>73835</v>
      </c>
      <c r="BC35" s="208">
        <f t="shared" si="53"/>
        <v>27847</v>
      </c>
      <c r="BD35" s="210">
        <v>53879</v>
      </c>
      <c r="BE35" s="207">
        <v>3130</v>
      </c>
      <c r="BF35" s="221">
        <f t="shared" si="54"/>
        <v>50749</v>
      </c>
      <c r="BG35" s="32"/>
      <c r="BH35" s="81"/>
      <c r="BI35" s="82">
        <f t="shared" si="55"/>
        <v>0</v>
      </c>
      <c r="BJ35" s="580"/>
      <c r="BK35" s="213"/>
      <c r="BL35" s="214">
        <f t="shared" si="56"/>
        <v>0</v>
      </c>
      <c r="BM35" s="580">
        <v>69004</v>
      </c>
      <c r="BN35" s="213">
        <v>55276</v>
      </c>
      <c r="BO35" s="214">
        <f t="shared" si="57"/>
        <v>13728</v>
      </c>
      <c r="BP35" s="206">
        <v>611730</v>
      </c>
      <c r="BQ35" s="207">
        <v>565643</v>
      </c>
      <c r="BR35" s="358">
        <f t="shared" si="58"/>
        <v>46087</v>
      </c>
      <c r="BS35" s="215">
        <f t="shared" si="59"/>
        <v>5058173</v>
      </c>
      <c r="BT35" s="207">
        <f t="shared" si="60"/>
        <v>4053981</v>
      </c>
      <c r="BU35" s="208">
        <f t="shared" si="61"/>
        <v>1004192</v>
      </c>
      <c r="BV35" s="580">
        <v>892656</v>
      </c>
      <c r="BW35" s="213">
        <v>71042</v>
      </c>
      <c r="BX35" s="214">
        <f t="shared" si="62"/>
        <v>821614</v>
      </c>
      <c r="BY35" s="215">
        <f t="shared" si="63"/>
        <v>5950829</v>
      </c>
      <c r="BZ35" s="207">
        <f t="shared" si="64"/>
        <v>4125023</v>
      </c>
      <c r="CA35" s="208">
        <f t="shared" si="65"/>
        <v>1825806</v>
      </c>
    </row>
    <row r="36" spans="1:79" ht="16.5">
      <c r="A36" s="325" t="s">
        <v>150</v>
      </c>
      <c r="B36" s="204"/>
      <c r="C36" s="205"/>
      <c r="D36" s="364">
        <f t="shared" si="36"/>
        <v>0</v>
      </c>
      <c r="E36" s="206"/>
      <c r="F36" s="207"/>
      <c r="G36" s="208">
        <f t="shared" si="37"/>
        <v>0</v>
      </c>
      <c r="H36" s="206"/>
      <c r="I36" s="207"/>
      <c r="J36" s="208">
        <f t="shared" si="38"/>
        <v>0</v>
      </c>
      <c r="K36" s="206">
        <v>2033003</v>
      </c>
      <c r="L36" s="207">
        <v>257270</v>
      </c>
      <c r="M36" s="212">
        <f t="shared" si="39"/>
        <v>1775733</v>
      </c>
      <c r="N36" s="206"/>
      <c r="O36" s="207"/>
      <c r="P36" s="208">
        <f t="shared" si="40"/>
        <v>0</v>
      </c>
      <c r="Q36" s="206"/>
      <c r="R36" s="207"/>
      <c r="S36" s="208">
        <f t="shared" si="41"/>
        <v>0</v>
      </c>
      <c r="T36" s="215"/>
      <c r="U36" s="207"/>
      <c r="V36" s="208">
        <f t="shared" si="42"/>
        <v>0</v>
      </c>
      <c r="W36" s="206"/>
      <c r="X36" s="207"/>
      <c r="Y36" s="208">
        <f t="shared" si="43"/>
        <v>0</v>
      </c>
      <c r="Z36" s="206"/>
      <c r="AA36" s="207"/>
      <c r="AB36" s="208">
        <f t="shared" si="44"/>
        <v>0</v>
      </c>
      <c r="AC36" s="206"/>
      <c r="AD36" s="207"/>
      <c r="AE36" s="208">
        <f t="shared" si="45"/>
        <v>0</v>
      </c>
      <c r="AF36" s="206">
        <v>2866745</v>
      </c>
      <c r="AG36" s="207">
        <v>308569</v>
      </c>
      <c r="AH36" s="208">
        <f t="shared" si="46"/>
        <v>2558176</v>
      </c>
      <c r="AI36" s="206">
        <v>89000</v>
      </c>
      <c r="AJ36" s="207">
        <v>14570</v>
      </c>
      <c r="AK36" s="208">
        <f t="shared" si="47"/>
        <v>74430</v>
      </c>
      <c r="AL36" s="206">
        <v>1224211</v>
      </c>
      <c r="AM36" s="207">
        <v>9665</v>
      </c>
      <c r="AN36" s="579">
        <f t="shared" si="48"/>
        <v>1214546</v>
      </c>
      <c r="AO36" s="206"/>
      <c r="AP36" s="207"/>
      <c r="AQ36" s="208">
        <f t="shared" si="49"/>
        <v>0</v>
      </c>
      <c r="AR36" s="206"/>
      <c r="AS36" s="207"/>
      <c r="AT36" s="208">
        <f t="shared" si="50"/>
        <v>0</v>
      </c>
      <c r="AU36" s="206"/>
      <c r="AV36" s="207"/>
      <c r="AW36" s="208">
        <f t="shared" si="51"/>
        <v>0</v>
      </c>
      <c r="AX36" s="206">
        <v>244310</v>
      </c>
      <c r="AY36" s="207">
        <v>9978</v>
      </c>
      <c r="AZ36" s="208">
        <f t="shared" si="52"/>
        <v>234332</v>
      </c>
      <c r="BA36" s="206"/>
      <c r="BB36" s="207"/>
      <c r="BC36" s="208">
        <f t="shared" si="53"/>
        <v>0</v>
      </c>
      <c r="BD36" s="210"/>
      <c r="BE36" s="207"/>
      <c r="BF36" s="221">
        <f t="shared" si="54"/>
        <v>0</v>
      </c>
      <c r="BG36" s="16">
        <v>677870</v>
      </c>
      <c r="BH36" s="17">
        <v>62779</v>
      </c>
      <c r="BI36" s="18">
        <f t="shared" si="55"/>
        <v>615091</v>
      </c>
      <c r="BJ36" s="580">
        <v>134370</v>
      </c>
      <c r="BK36" s="213">
        <v>9263</v>
      </c>
      <c r="BL36" s="214">
        <f t="shared" si="56"/>
        <v>125107</v>
      </c>
      <c r="BM36" s="580"/>
      <c r="BN36" s="213"/>
      <c r="BO36" s="214">
        <f t="shared" si="57"/>
        <v>0</v>
      </c>
      <c r="BP36" s="206">
        <v>1049746</v>
      </c>
      <c r="BQ36" s="207">
        <v>75204</v>
      </c>
      <c r="BR36" s="358">
        <f t="shared" si="58"/>
        <v>974542</v>
      </c>
      <c r="BS36" s="215">
        <f t="shared" si="59"/>
        <v>8319255</v>
      </c>
      <c r="BT36" s="207">
        <f t="shared" si="60"/>
        <v>747298</v>
      </c>
      <c r="BU36" s="208">
        <f t="shared" si="61"/>
        <v>7571957</v>
      </c>
      <c r="BV36" s="580">
        <v>22029125</v>
      </c>
      <c r="BW36" s="213">
        <v>5663684</v>
      </c>
      <c r="BX36" s="214">
        <f t="shared" si="62"/>
        <v>16365441</v>
      </c>
      <c r="BY36" s="215">
        <f t="shared" si="63"/>
        <v>30348380</v>
      </c>
      <c r="BZ36" s="207">
        <f t="shared" si="64"/>
        <v>6410982</v>
      </c>
      <c r="CA36" s="208">
        <f t="shared" si="65"/>
        <v>23937398</v>
      </c>
    </row>
    <row r="37" spans="1:79" ht="16.5">
      <c r="A37" s="325" t="s">
        <v>151</v>
      </c>
      <c r="B37" s="204"/>
      <c r="C37" s="205"/>
      <c r="D37" s="364">
        <f t="shared" si="36"/>
        <v>0</v>
      </c>
      <c r="E37" s="206"/>
      <c r="F37" s="207"/>
      <c r="G37" s="208">
        <f t="shared" si="37"/>
        <v>0</v>
      </c>
      <c r="H37" s="206"/>
      <c r="I37" s="207"/>
      <c r="J37" s="208">
        <f t="shared" si="38"/>
        <v>0</v>
      </c>
      <c r="K37" s="206"/>
      <c r="L37" s="207"/>
      <c r="M37" s="212">
        <f t="shared" si="39"/>
        <v>0</v>
      </c>
      <c r="N37" s="206"/>
      <c r="O37" s="207"/>
      <c r="P37" s="208">
        <f t="shared" si="40"/>
        <v>0</v>
      </c>
      <c r="Q37" s="206"/>
      <c r="R37" s="207"/>
      <c r="S37" s="208">
        <f t="shared" si="41"/>
        <v>0</v>
      </c>
      <c r="T37" s="215"/>
      <c r="U37" s="207"/>
      <c r="V37" s="208">
        <f t="shared" si="42"/>
        <v>0</v>
      </c>
      <c r="W37" s="206"/>
      <c r="X37" s="207"/>
      <c r="Y37" s="208">
        <f t="shared" si="43"/>
        <v>0</v>
      </c>
      <c r="Z37" s="206"/>
      <c r="AA37" s="207"/>
      <c r="AB37" s="208">
        <f t="shared" si="44"/>
        <v>0</v>
      </c>
      <c r="AC37" s="206"/>
      <c r="AD37" s="207"/>
      <c r="AE37" s="208">
        <f t="shared" si="45"/>
        <v>0</v>
      </c>
      <c r="AF37" s="206"/>
      <c r="AG37" s="207"/>
      <c r="AH37" s="208">
        <f t="shared" si="46"/>
        <v>0</v>
      </c>
      <c r="AI37" s="206"/>
      <c r="AJ37" s="207"/>
      <c r="AK37" s="208">
        <f t="shared" si="47"/>
        <v>0</v>
      </c>
      <c r="AL37" s="206"/>
      <c r="AM37" s="207"/>
      <c r="AN37" s="579">
        <f t="shared" si="48"/>
        <v>0</v>
      </c>
      <c r="AO37" s="206"/>
      <c r="AP37" s="207"/>
      <c r="AQ37" s="208">
        <f t="shared" si="49"/>
        <v>0</v>
      </c>
      <c r="AR37" s="206"/>
      <c r="AS37" s="207"/>
      <c r="AT37" s="208">
        <f t="shared" si="50"/>
        <v>0</v>
      </c>
      <c r="AU37" s="206"/>
      <c r="AV37" s="207"/>
      <c r="AW37" s="208">
        <f t="shared" si="51"/>
        <v>0</v>
      </c>
      <c r="AX37" s="206"/>
      <c r="AY37" s="207"/>
      <c r="AZ37" s="208">
        <f t="shared" si="52"/>
        <v>0</v>
      </c>
      <c r="BA37" s="206"/>
      <c r="BB37" s="207"/>
      <c r="BC37" s="208">
        <f t="shared" si="53"/>
        <v>0</v>
      </c>
      <c r="BD37" s="210"/>
      <c r="BE37" s="207"/>
      <c r="BF37" s="221">
        <f t="shared" si="54"/>
        <v>0</v>
      </c>
      <c r="BG37" s="16">
        <v>1423514</v>
      </c>
      <c r="BH37" s="17">
        <v>13148</v>
      </c>
      <c r="BI37" s="18">
        <f t="shared" si="55"/>
        <v>1410366</v>
      </c>
      <c r="BJ37" s="580"/>
      <c r="BK37" s="213"/>
      <c r="BL37" s="214">
        <f t="shared" si="56"/>
        <v>0</v>
      </c>
      <c r="BM37" s="580"/>
      <c r="BN37" s="213"/>
      <c r="BO37" s="214">
        <f t="shared" si="57"/>
        <v>0</v>
      </c>
      <c r="BP37" s="206"/>
      <c r="BQ37" s="207"/>
      <c r="BR37" s="358">
        <f t="shared" si="58"/>
        <v>0</v>
      </c>
      <c r="BS37" s="215">
        <f t="shared" si="59"/>
        <v>1423514</v>
      </c>
      <c r="BT37" s="207">
        <f t="shared" si="60"/>
        <v>13148</v>
      </c>
      <c r="BU37" s="208">
        <f t="shared" si="61"/>
        <v>1410366</v>
      </c>
      <c r="BV37" s="580"/>
      <c r="BW37" s="213"/>
      <c r="BX37" s="214">
        <f t="shared" si="62"/>
        <v>0</v>
      </c>
      <c r="BY37" s="215">
        <f t="shared" si="63"/>
        <v>1423514</v>
      </c>
      <c r="BZ37" s="207">
        <f t="shared" si="64"/>
        <v>13148</v>
      </c>
      <c r="CA37" s="208">
        <f t="shared" si="65"/>
        <v>1410366</v>
      </c>
    </row>
    <row r="38" spans="1:79" ht="16.5">
      <c r="A38" s="325" t="s">
        <v>152</v>
      </c>
      <c r="B38" s="204">
        <v>138308</v>
      </c>
      <c r="C38" s="205">
        <v>107614</v>
      </c>
      <c r="D38" s="364">
        <f t="shared" si="36"/>
        <v>30694</v>
      </c>
      <c r="E38" s="206">
        <v>10851</v>
      </c>
      <c r="F38" s="207">
        <v>8827</v>
      </c>
      <c r="G38" s="208">
        <f t="shared" si="37"/>
        <v>2024</v>
      </c>
      <c r="H38" s="206">
        <v>150365</v>
      </c>
      <c r="I38" s="207">
        <v>146962</v>
      </c>
      <c r="J38" s="208">
        <f t="shared" si="38"/>
        <v>3403</v>
      </c>
      <c r="K38" s="219">
        <v>261882</v>
      </c>
      <c r="L38" s="207">
        <v>162061</v>
      </c>
      <c r="M38" s="212">
        <f t="shared" si="39"/>
        <v>99821</v>
      </c>
      <c r="N38" s="206">
        <v>46742</v>
      </c>
      <c r="O38" s="207">
        <v>41596</v>
      </c>
      <c r="P38" s="208">
        <f t="shared" si="40"/>
        <v>5146</v>
      </c>
      <c r="Q38" s="206">
        <v>24428</v>
      </c>
      <c r="R38" s="207">
        <v>22097</v>
      </c>
      <c r="S38" s="208">
        <f t="shared" si="41"/>
        <v>2331</v>
      </c>
      <c r="T38" s="215">
        <v>22259</v>
      </c>
      <c r="U38" s="207">
        <v>16124</v>
      </c>
      <c r="V38" s="208">
        <f t="shared" si="42"/>
        <v>6135</v>
      </c>
      <c r="W38" s="206">
        <v>37247</v>
      </c>
      <c r="X38" s="207">
        <v>17382</v>
      </c>
      <c r="Y38" s="208">
        <f t="shared" si="43"/>
        <v>19865</v>
      </c>
      <c r="Z38" s="206">
        <v>110199</v>
      </c>
      <c r="AA38" s="207">
        <v>84951</v>
      </c>
      <c r="AB38" s="208">
        <f t="shared" si="44"/>
        <v>25248</v>
      </c>
      <c r="AC38" s="206">
        <v>46695</v>
      </c>
      <c r="AD38" s="207">
        <v>20963</v>
      </c>
      <c r="AE38" s="208">
        <f t="shared" si="45"/>
        <v>25732</v>
      </c>
      <c r="AF38" s="206">
        <v>700411</v>
      </c>
      <c r="AG38" s="207">
        <v>632285</v>
      </c>
      <c r="AH38" s="208">
        <f t="shared" si="46"/>
        <v>68126</v>
      </c>
      <c r="AI38" s="206">
        <v>295020</v>
      </c>
      <c r="AJ38" s="207">
        <v>216337</v>
      </c>
      <c r="AK38" s="208">
        <f t="shared" si="47"/>
        <v>78683</v>
      </c>
      <c r="AL38" s="578">
        <v>93815</v>
      </c>
      <c r="AM38" s="209">
        <v>68776</v>
      </c>
      <c r="AN38" s="579">
        <f t="shared" si="48"/>
        <v>25039</v>
      </c>
      <c r="AO38" s="206">
        <v>20137</v>
      </c>
      <c r="AP38" s="207">
        <v>19513</v>
      </c>
      <c r="AQ38" s="208">
        <f t="shared" si="49"/>
        <v>624</v>
      </c>
      <c r="AR38" s="392">
        <v>492530</v>
      </c>
      <c r="AS38" s="393">
        <v>336134</v>
      </c>
      <c r="AT38" s="208">
        <f t="shared" si="50"/>
        <v>156396</v>
      </c>
      <c r="AU38" s="206">
        <v>376740</v>
      </c>
      <c r="AV38" s="207">
        <v>308971</v>
      </c>
      <c r="AW38" s="208">
        <f t="shared" si="51"/>
        <v>67769</v>
      </c>
      <c r="AX38" s="206">
        <v>76290</v>
      </c>
      <c r="AY38" s="207">
        <v>51459</v>
      </c>
      <c r="AZ38" s="208">
        <f t="shared" si="52"/>
        <v>24831</v>
      </c>
      <c r="BA38" s="206">
        <v>145605</v>
      </c>
      <c r="BB38" s="207">
        <v>137699</v>
      </c>
      <c r="BC38" s="208">
        <f t="shared" si="53"/>
        <v>7906</v>
      </c>
      <c r="BD38" s="210">
        <v>6998</v>
      </c>
      <c r="BE38" s="207">
        <v>4753</v>
      </c>
      <c r="BF38" s="221">
        <f t="shared" si="54"/>
        <v>2245</v>
      </c>
      <c r="BG38" s="16">
        <v>721628</v>
      </c>
      <c r="BH38" s="17">
        <v>334733</v>
      </c>
      <c r="BI38" s="18">
        <f t="shared" si="55"/>
        <v>386895</v>
      </c>
      <c r="BJ38" s="580">
        <v>176753</v>
      </c>
      <c r="BK38" s="213">
        <v>61421</v>
      </c>
      <c r="BL38" s="214">
        <f t="shared" si="56"/>
        <v>115332</v>
      </c>
      <c r="BM38" s="580">
        <v>32473</v>
      </c>
      <c r="BN38" s="213">
        <v>22816</v>
      </c>
      <c r="BO38" s="214">
        <f t="shared" si="57"/>
        <v>9657</v>
      </c>
      <c r="BP38" s="206">
        <v>223793</v>
      </c>
      <c r="BQ38" s="207">
        <v>168261</v>
      </c>
      <c r="BR38" s="358">
        <f t="shared" si="58"/>
        <v>55532</v>
      </c>
      <c r="BS38" s="215">
        <f t="shared" si="59"/>
        <v>4211169</v>
      </c>
      <c r="BT38" s="207">
        <f t="shared" si="60"/>
        <v>2991735</v>
      </c>
      <c r="BU38" s="208">
        <f t="shared" si="61"/>
        <v>1219434</v>
      </c>
      <c r="BV38" s="206">
        <v>4489999</v>
      </c>
      <c r="BW38" s="207">
        <v>3259666</v>
      </c>
      <c r="BX38" s="214">
        <f t="shared" si="62"/>
        <v>1230333</v>
      </c>
      <c r="BY38" s="215">
        <f t="shared" si="63"/>
        <v>8701168</v>
      </c>
      <c r="BZ38" s="207">
        <f t="shared" si="64"/>
        <v>6251401</v>
      </c>
      <c r="CA38" s="208">
        <f t="shared" si="65"/>
        <v>2449767</v>
      </c>
    </row>
    <row r="39" spans="1:79" ht="16.5">
      <c r="A39" s="325" t="s">
        <v>153</v>
      </c>
      <c r="B39" s="204">
        <v>829894</v>
      </c>
      <c r="C39" s="205">
        <v>654746</v>
      </c>
      <c r="D39" s="364">
        <f t="shared" si="36"/>
        <v>175148</v>
      </c>
      <c r="E39" s="206">
        <v>82577</v>
      </c>
      <c r="F39" s="207">
        <v>78990</v>
      </c>
      <c r="G39" s="208">
        <f t="shared" si="37"/>
        <v>3587</v>
      </c>
      <c r="H39" s="206">
        <v>475259</v>
      </c>
      <c r="I39" s="207">
        <v>439799</v>
      </c>
      <c r="J39" s="208">
        <f t="shared" si="38"/>
        <v>35460</v>
      </c>
      <c r="K39" s="206">
        <f>856651+636626</f>
        <v>1493277</v>
      </c>
      <c r="L39" s="207">
        <f>793750+485917</f>
        <v>1279667</v>
      </c>
      <c r="M39" s="212">
        <f t="shared" si="39"/>
        <v>213610</v>
      </c>
      <c r="N39" s="206">
        <v>199183</v>
      </c>
      <c r="O39" s="207">
        <v>167282</v>
      </c>
      <c r="P39" s="208">
        <f t="shared" si="40"/>
        <v>31901</v>
      </c>
      <c r="Q39" s="206">
        <v>346817</v>
      </c>
      <c r="R39" s="207">
        <v>305467</v>
      </c>
      <c r="S39" s="208">
        <f t="shared" si="41"/>
        <v>41350</v>
      </c>
      <c r="T39" s="215">
        <v>171926</v>
      </c>
      <c r="U39" s="207">
        <v>99816</v>
      </c>
      <c r="V39" s="208">
        <f t="shared" si="42"/>
        <v>72110</v>
      </c>
      <c r="W39" s="206">
        <v>188031</v>
      </c>
      <c r="X39" s="207">
        <v>135782</v>
      </c>
      <c r="Y39" s="208">
        <f t="shared" si="43"/>
        <v>52249</v>
      </c>
      <c r="Z39" s="206">
        <v>250165</v>
      </c>
      <c r="AA39" s="207">
        <v>166738</v>
      </c>
      <c r="AB39" s="208">
        <f t="shared" si="44"/>
        <v>83427</v>
      </c>
      <c r="AC39" s="206">
        <v>87826</v>
      </c>
      <c r="AD39" s="207">
        <v>40819</v>
      </c>
      <c r="AE39" s="208">
        <f t="shared" si="45"/>
        <v>47007</v>
      </c>
      <c r="AF39" s="206">
        <v>923111</v>
      </c>
      <c r="AG39" s="207">
        <v>792166</v>
      </c>
      <c r="AH39" s="208">
        <f t="shared" si="46"/>
        <v>130945</v>
      </c>
      <c r="AI39" s="206">
        <v>450859</v>
      </c>
      <c r="AJ39" s="207">
        <v>318087</v>
      </c>
      <c r="AK39" s="208">
        <f t="shared" si="47"/>
        <v>132772</v>
      </c>
      <c r="AL39" s="578">
        <v>84575</v>
      </c>
      <c r="AM39" s="209">
        <v>67483</v>
      </c>
      <c r="AN39" s="579">
        <f t="shared" si="48"/>
        <v>17092</v>
      </c>
      <c r="AO39" s="206">
        <v>282958</v>
      </c>
      <c r="AP39" s="207">
        <v>235481</v>
      </c>
      <c r="AQ39" s="208">
        <f t="shared" si="49"/>
        <v>47477</v>
      </c>
      <c r="AR39" s="392">
        <v>493566</v>
      </c>
      <c r="AS39" s="393">
        <v>384416</v>
      </c>
      <c r="AT39" s="208">
        <f t="shared" si="50"/>
        <v>109150</v>
      </c>
      <c r="AU39" s="206">
        <v>1351262</v>
      </c>
      <c r="AV39" s="207">
        <v>1151944</v>
      </c>
      <c r="AW39" s="208">
        <f t="shared" si="51"/>
        <v>199318</v>
      </c>
      <c r="AX39" s="206">
        <f>556245+195708</f>
        <v>751953</v>
      </c>
      <c r="AY39" s="207">
        <f>462952+65236</f>
        <v>528188</v>
      </c>
      <c r="AZ39" s="208">
        <f t="shared" si="52"/>
        <v>223765</v>
      </c>
      <c r="BA39" s="206">
        <v>422400</v>
      </c>
      <c r="BB39" s="207">
        <v>335368</v>
      </c>
      <c r="BC39" s="208">
        <f t="shared" si="53"/>
        <v>87032</v>
      </c>
      <c r="BD39" s="210">
        <v>89883</v>
      </c>
      <c r="BE39" s="207">
        <v>77363</v>
      </c>
      <c r="BF39" s="221">
        <f t="shared" si="54"/>
        <v>12520</v>
      </c>
      <c r="BG39" s="16">
        <v>1215958</v>
      </c>
      <c r="BH39" s="17">
        <v>990074</v>
      </c>
      <c r="BI39" s="18">
        <f t="shared" si="55"/>
        <v>225884</v>
      </c>
      <c r="BJ39" s="580">
        <v>156265</v>
      </c>
      <c r="BK39" s="213">
        <v>117775</v>
      </c>
      <c r="BL39" s="214">
        <f t="shared" si="56"/>
        <v>38490</v>
      </c>
      <c r="BM39" s="580">
        <v>123702</v>
      </c>
      <c r="BN39" s="213">
        <v>77202</v>
      </c>
      <c r="BO39" s="214">
        <f t="shared" si="57"/>
        <v>46500</v>
      </c>
      <c r="BP39" s="206">
        <v>754622</v>
      </c>
      <c r="BQ39" s="207">
        <v>560173</v>
      </c>
      <c r="BR39" s="358">
        <f t="shared" si="58"/>
        <v>194449</v>
      </c>
      <c r="BS39" s="215">
        <f t="shared" si="59"/>
        <v>11226069</v>
      </c>
      <c r="BT39" s="207">
        <f t="shared" si="60"/>
        <v>9004826</v>
      </c>
      <c r="BU39" s="208">
        <f t="shared" si="61"/>
        <v>2221243</v>
      </c>
      <c r="BV39" s="206">
        <v>10340392</v>
      </c>
      <c r="BW39" s="207">
        <v>9224473</v>
      </c>
      <c r="BX39" s="214">
        <f t="shared" si="62"/>
        <v>1115919</v>
      </c>
      <c r="BY39" s="215">
        <f t="shared" si="63"/>
        <v>21566461</v>
      </c>
      <c r="BZ39" s="207">
        <f t="shared" si="64"/>
        <v>18229299</v>
      </c>
      <c r="CA39" s="208">
        <f t="shared" si="65"/>
        <v>3337162</v>
      </c>
    </row>
    <row r="40" spans="1:79" ht="16.5">
      <c r="A40" s="325" t="s">
        <v>154</v>
      </c>
      <c r="B40" s="204">
        <v>26215</v>
      </c>
      <c r="C40" s="205">
        <v>6356</v>
      </c>
      <c r="D40" s="364">
        <f t="shared" si="36"/>
        <v>19859</v>
      </c>
      <c r="E40" s="206">
        <v>275</v>
      </c>
      <c r="F40" s="207">
        <v>275</v>
      </c>
      <c r="G40" s="208">
        <f t="shared" si="37"/>
        <v>0</v>
      </c>
      <c r="H40" s="206">
        <v>2771</v>
      </c>
      <c r="I40" s="207">
        <v>1681</v>
      </c>
      <c r="J40" s="208">
        <f t="shared" si="38"/>
        <v>1090</v>
      </c>
      <c r="K40" s="206">
        <v>31656</v>
      </c>
      <c r="L40" s="207">
        <v>14325</v>
      </c>
      <c r="M40" s="212">
        <f t="shared" si="39"/>
        <v>17331</v>
      </c>
      <c r="N40" s="206"/>
      <c r="O40" s="207"/>
      <c r="P40" s="208">
        <f t="shared" si="40"/>
        <v>0</v>
      </c>
      <c r="Q40" s="206">
        <v>4076</v>
      </c>
      <c r="R40" s="207">
        <v>4076</v>
      </c>
      <c r="S40" s="208">
        <f t="shared" si="41"/>
        <v>0</v>
      </c>
      <c r="T40" s="215"/>
      <c r="U40" s="207"/>
      <c r="V40" s="208">
        <f t="shared" si="42"/>
        <v>0</v>
      </c>
      <c r="W40" s="206">
        <v>16087</v>
      </c>
      <c r="X40" s="207">
        <v>8330</v>
      </c>
      <c r="Y40" s="208">
        <f t="shared" si="43"/>
        <v>7757</v>
      </c>
      <c r="Z40" s="206">
        <v>76039</v>
      </c>
      <c r="AA40" s="207">
        <v>71162</v>
      </c>
      <c r="AB40" s="208">
        <f t="shared" si="44"/>
        <v>4877</v>
      </c>
      <c r="AC40" s="206">
        <v>8005</v>
      </c>
      <c r="AD40" s="207">
        <v>4162</v>
      </c>
      <c r="AE40" s="208">
        <f t="shared" si="45"/>
        <v>3843</v>
      </c>
      <c r="AF40" s="206">
        <v>129278</v>
      </c>
      <c r="AG40" s="207">
        <v>57771</v>
      </c>
      <c r="AH40" s="208">
        <f t="shared" si="46"/>
        <v>71507</v>
      </c>
      <c r="AI40" s="206">
        <v>102436</v>
      </c>
      <c r="AJ40" s="207">
        <v>41507</v>
      </c>
      <c r="AK40" s="208">
        <f t="shared" si="47"/>
        <v>60929</v>
      </c>
      <c r="AL40" s="578">
        <v>32120</v>
      </c>
      <c r="AM40" s="209">
        <v>9068</v>
      </c>
      <c r="AN40" s="579">
        <f t="shared" si="48"/>
        <v>23052</v>
      </c>
      <c r="AO40" s="206"/>
      <c r="AP40" s="207"/>
      <c r="AQ40" s="208">
        <f t="shared" si="49"/>
        <v>0</v>
      </c>
      <c r="AR40" s="206">
        <v>82307</v>
      </c>
      <c r="AS40" s="207">
        <v>44894</v>
      </c>
      <c r="AT40" s="208">
        <f t="shared" si="50"/>
        <v>37413</v>
      </c>
      <c r="AU40" s="206">
        <v>37638</v>
      </c>
      <c r="AV40" s="207">
        <v>23301</v>
      </c>
      <c r="AW40" s="208">
        <f t="shared" si="51"/>
        <v>14337</v>
      </c>
      <c r="AX40" s="206">
        <v>1247</v>
      </c>
      <c r="AY40" s="207">
        <v>678</v>
      </c>
      <c r="AZ40" s="208">
        <f t="shared" si="52"/>
        <v>569</v>
      </c>
      <c r="BA40" s="206"/>
      <c r="BB40" s="207"/>
      <c r="BC40" s="208">
        <f t="shared" si="53"/>
        <v>0</v>
      </c>
      <c r="BD40" s="210">
        <v>4103</v>
      </c>
      <c r="BE40" s="207">
        <v>3402</v>
      </c>
      <c r="BF40" s="221">
        <f t="shared" si="54"/>
        <v>701</v>
      </c>
      <c r="BG40" s="16">
        <v>2235</v>
      </c>
      <c r="BH40" s="17">
        <v>698</v>
      </c>
      <c r="BI40" s="18">
        <f t="shared" si="55"/>
        <v>1537</v>
      </c>
      <c r="BJ40" s="580">
        <v>5532</v>
      </c>
      <c r="BK40" s="213">
        <v>4338</v>
      </c>
      <c r="BL40" s="214">
        <f t="shared" si="56"/>
        <v>1194</v>
      </c>
      <c r="BM40" s="580">
        <v>12394</v>
      </c>
      <c r="BN40" s="213">
        <v>2013</v>
      </c>
      <c r="BO40" s="214">
        <f t="shared" si="57"/>
        <v>10381</v>
      </c>
      <c r="BP40" s="206">
        <v>4426</v>
      </c>
      <c r="BQ40" s="207">
        <v>4169</v>
      </c>
      <c r="BR40" s="358">
        <f t="shared" si="58"/>
        <v>257</v>
      </c>
      <c r="BS40" s="215">
        <f t="shared" si="59"/>
        <v>578840</v>
      </c>
      <c r="BT40" s="207">
        <f t="shared" si="60"/>
        <v>302206</v>
      </c>
      <c r="BU40" s="208">
        <f t="shared" si="61"/>
        <v>276634</v>
      </c>
      <c r="BV40" s="206">
        <v>6057839</v>
      </c>
      <c r="BW40" s="207">
        <v>3912195</v>
      </c>
      <c r="BX40" s="214">
        <f t="shared" si="62"/>
        <v>2145644</v>
      </c>
      <c r="BY40" s="215">
        <f t="shared" si="63"/>
        <v>6636679</v>
      </c>
      <c r="BZ40" s="207">
        <f t="shared" si="64"/>
        <v>4214401</v>
      </c>
      <c r="CA40" s="208">
        <f t="shared" si="65"/>
        <v>2422278</v>
      </c>
    </row>
    <row r="41" spans="1:79" ht="16.5">
      <c r="A41" s="325" t="s">
        <v>155</v>
      </c>
      <c r="B41" s="204">
        <v>206468</v>
      </c>
      <c r="C41" s="205">
        <v>172040</v>
      </c>
      <c r="D41" s="364">
        <f t="shared" si="36"/>
        <v>34428</v>
      </c>
      <c r="E41" s="206">
        <v>19485</v>
      </c>
      <c r="F41" s="207">
        <v>17459</v>
      </c>
      <c r="G41" s="208">
        <f t="shared" si="37"/>
        <v>2026</v>
      </c>
      <c r="H41" s="206">
        <v>81406</v>
      </c>
      <c r="I41" s="207">
        <v>77213</v>
      </c>
      <c r="J41" s="208">
        <f t="shared" si="38"/>
        <v>4193</v>
      </c>
      <c r="K41" s="206">
        <v>201611</v>
      </c>
      <c r="L41" s="207">
        <v>183916</v>
      </c>
      <c r="M41" s="212">
        <f t="shared" si="39"/>
        <v>17695</v>
      </c>
      <c r="N41" s="206">
        <v>53101</v>
      </c>
      <c r="O41" s="207">
        <v>39549</v>
      </c>
      <c r="P41" s="208">
        <f t="shared" si="40"/>
        <v>13552</v>
      </c>
      <c r="Q41" s="206">
        <v>15157</v>
      </c>
      <c r="R41" s="207">
        <v>12549</v>
      </c>
      <c r="S41" s="208">
        <f t="shared" si="41"/>
        <v>2608</v>
      </c>
      <c r="T41" s="215">
        <v>33563</v>
      </c>
      <c r="U41" s="207">
        <v>21443</v>
      </c>
      <c r="V41" s="208">
        <f t="shared" si="42"/>
        <v>12120</v>
      </c>
      <c r="W41" s="206">
        <v>55064</v>
      </c>
      <c r="X41" s="207">
        <v>32751</v>
      </c>
      <c r="Y41" s="208">
        <f t="shared" si="43"/>
        <v>22313</v>
      </c>
      <c r="Z41" s="206">
        <v>185074</v>
      </c>
      <c r="AA41" s="207">
        <v>146736</v>
      </c>
      <c r="AB41" s="208">
        <f t="shared" si="44"/>
        <v>38338</v>
      </c>
      <c r="AC41" s="206">
        <v>37827</v>
      </c>
      <c r="AD41" s="207">
        <v>30276</v>
      </c>
      <c r="AE41" s="208">
        <f t="shared" si="45"/>
        <v>7551</v>
      </c>
      <c r="AF41" s="206">
        <v>602845</v>
      </c>
      <c r="AG41" s="207">
        <v>496873</v>
      </c>
      <c r="AH41" s="208">
        <f t="shared" si="46"/>
        <v>105972</v>
      </c>
      <c r="AI41" s="206">
        <v>437649</v>
      </c>
      <c r="AJ41" s="207">
        <v>283334</v>
      </c>
      <c r="AK41" s="208">
        <f t="shared" si="47"/>
        <v>154315</v>
      </c>
      <c r="AL41" s="578">
        <v>89847</v>
      </c>
      <c r="AM41" s="209">
        <v>40386</v>
      </c>
      <c r="AN41" s="579">
        <f t="shared" si="48"/>
        <v>49461</v>
      </c>
      <c r="AO41" s="206">
        <v>54322</v>
      </c>
      <c r="AP41" s="207">
        <v>51325</v>
      </c>
      <c r="AQ41" s="208">
        <f t="shared" si="49"/>
        <v>2997</v>
      </c>
      <c r="AR41" s="206">
        <v>169041</v>
      </c>
      <c r="AS41" s="207">
        <v>118096</v>
      </c>
      <c r="AT41" s="208">
        <f t="shared" si="50"/>
        <v>50945</v>
      </c>
      <c r="AU41" s="206">
        <v>559507</v>
      </c>
      <c r="AV41" s="207">
        <v>458171</v>
      </c>
      <c r="AW41" s="208">
        <f t="shared" si="51"/>
        <v>101336</v>
      </c>
      <c r="AX41" s="206">
        <v>114249</v>
      </c>
      <c r="AY41" s="207">
        <v>80335</v>
      </c>
      <c r="AZ41" s="208">
        <f t="shared" si="52"/>
        <v>33914</v>
      </c>
      <c r="BA41" s="206">
        <v>224798</v>
      </c>
      <c r="BB41" s="207">
        <v>170467</v>
      </c>
      <c r="BC41" s="208">
        <f t="shared" si="53"/>
        <v>54331</v>
      </c>
      <c r="BD41" s="210">
        <v>5674</v>
      </c>
      <c r="BE41" s="207">
        <v>5069</v>
      </c>
      <c r="BF41" s="221">
        <f t="shared" si="54"/>
        <v>605</v>
      </c>
      <c r="BG41" s="16">
        <v>372357</v>
      </c>
      <c r="BH41" s="17">
        <v>221694</v>
      </c>
      <c r="BI41" s="18">
        <f t="shared" si="55"/>
        <v>150663</v>
      </c>
      <c r="BJ41" s="580">
        <v>32551</v>
      </c>
      <c r="BK41" s="213">
        <v>8406</v>
      </c>
      <c r="BL41" s="214">
        <f t="shared" si="56"/>
        <v>24145</v>
      </c>
      <c r="BM41" s="580">
        <v>31440</v>
      </c>
      <c r="BN41" s="213">
        <v>14405</v>
      </c>
      <c r="BO41" s="214">
        <f t="shared" si="57"/>
        <v>17035</v>
      </c>
      <c r="BP41" s="206">
        <v>239014</v>
      </c>
      <c r="BQ41" s="207">
        <v>188310</v>
      </c>
      <c r="BR41" s="358">
        <f t="shared" si="58"/>
        <v>50704</v>
      </c>
      <c r="BS41" s="215">
        <f t="shared" si="59"/>
        <v>3822050</v>
      </c>
      <c r="BT41" s="207">
        <f t="shared" si="60"/>
        <v>2870803</v>
      </c>
      <c r="BU41" s="208">
        <f t="shared" si="61"/>
        <v>951247</v>
      </c>
      <c r="BV41" s="206">
        <v>647832</v>
      </c>
      <c r="BW41" s="207">
        <v>508779</v>
      </c>
      <c r="BX41" s="214">
        <f t="shared" si="62"/>
        <v>139053</v>
      </c>
      <c r="BY41" s="215">
        <f t="shared" si="63"/>
        <v>4469882</v>
      </c>
      <c r="BZ41" s="207">
        <f t="shared" si="64"/>
        <v>3379582</v>
      </c>
      <c r="CA41" s="208">
        <f t="shared" si="65"/>
        <v>1090300</v>
      </c>
    </row>
    <row r="42" spans="1:79" ht="16.5">
      <c r="A42" s="325" t="s">
        <v>156</v>
      </c>
      <c r="B42" s="204">
        <v>348250</v>
      </c>
      <c r="C42" s="205">
        <v>286171</v>
      </c>
      <c r="D42" s="364">
        <f t="shared" si="36"/>
        <v>62079</v>
      </c>
      <c r="E42" s="206">
        <v>20370</v>
      </c>
      <c r="F42" s="207">
        <v>19216</v>
      </c>
      <c r="G42" s="208">
        <f t="shared" si="37"/>
        <v>1154</v>
      </c>
      <c r="H42" s="206">
        <v>316596</v>
      </c>
      <c r="I42" s="207">
        <v>293199</v>
      </c>
      <c r="J42" s="208">
        <f t="shared" si="38"/>
        <v>23397</v>
      </c>
      <c r="K42" s="206"/>
      <c r="L42" s="207"/>
      <c r="M42" s="212">
        <f t="shared" si="39"/>
        <v>0</v>
      </c>
      <c r="N42" s="206"/>
      <c r="O42" s="207"/>
      <c r="P42" s="208">
        <f t="shared" si="40"/>
        <v>0</v>
      </c>
      <c r="Q42" s="206"/>
      <c r="R42" s="207"/>
      <c r="S42" s="208">
        <f t="shared" si="41"/>
        <v>0</v>
      </c>
      <c r="T42" s="215"/>
      <c r="U42" s="207"/>
      <c r="V42" s="208">
        <f t="shared" si="42"/>
        <v>0</v>
      </c>
      <c r="W42" s="206"/>
      <c r="X42" s="207"/>
      <c r="Y42" s="208">
        <f t="shared" si="43"/>
        <v>0</v>
      </c>
      <c r="Z42" s="206"/>
      <c r="AA42" s="207"/>
      <c r="AB42" s="208"/>
      <c r="AC42" s="206"/>
      <c r="AD42" s="207"/>
      <c r="AE42" s="208">
        <f t="shared" si="45"/>
        <v>0</v>
      </c>
      <c r="AF42" s="206"/>
      <c r="AG42" s="207"/>
      <c r="AH42" s="208">
        <f t="shared" si="46"/>
        <v>0</v>
      </c>
      <c r="AI42" s="206"/>
      <c r="AJ42" s="207"/>
      <c r="AK42" s="208">
        <f t="shared" si="47"/>
        <v>0</v>
      </c>
      <c r="AL42" s="578"/>
      <c r="AM42" s="209"/>
      <c r="AN42" s="579">
        <f t="shared" si="48"/>
        <v>0</v>
      </c>
      <c r="AO42" s="206"/>
      <c r="AP42" s="207"/>
      <c r="AQ42" s="208">
        <f t="shared" si="49"/>
        <v>0</v>
      </c>
      <c r="AR42" s="206"/>
      <c r="AS42" s="207"/>
      <c r="AT42" s="208">
        <f t="shared" si="50"/>
        <v>0</v>
      </c>
      <c r="AU42" s="206"/>
      <c r="AV42" s="207"/>
      <c r="AW42" s="208">
        <f t="shared" si="51"/>
        <v>0</v>
      </c>
      <c r="AX42" s="206"/>
      <c r="AY42" s="207"/>
      <c r="AZ42" s="208">
        <f t="shared" si="52"/>
        <v>0</v>
      </c>
      <c r="BA42" s="206"/>
      <c r="BB42" s="207"/>
      <c r="BC42" s="208">
        <f t="shared" si="53"/>
        <v>0</v>
      </c>
      <c r="BD42" s="210"/>
      <c r="BE42" s="207"/>
      <c r="BF42" s="221">
        <f t="shared" si="54"/>
        <v>0</v>
      </c>
      <c r="BG42" s="16">
        <v>297604</v>
      </c>
      <c r="BH42" s="17">
        <v>108698</v>
      </c>
      <c r="BI42" s="18">
        <f t="shared" si="55"/>
        <v>188906</v>
      </c>
      <c r="BJ42" s="580"/>
      <c r="BK42" s="213"/>
      <c r="BL42" s="214">
        <f t="shared" si="56"/>
        <v>0</v>
      </c>
      <c r="BM42" s="580"/>
      <c r="BN42" s="213"/>
      <c r="BO42" s="214">
        <f t="shared" si="57"/>
        <v>0</v>
      </c>
      <c r="BP42" s="206"/>
      <c r="BQ42" s="207"/>
      <c r="BR42" s="358">
        <f t="shared" si="58"/>
        <v>0</v>
      </c>
      <c r="BS42" s="215">
        <f t="shared" si="59"/>
        <v>982820</v>
      </c>
      <c r="BT42" s="207">
        <f t="shared" si="60"/>
        <v>707284</v>
      </c>
      <c r="BU42" s="208">
        <f t="shared" si="61"/>
        <v>275536</v>
      </c>
      <c r="BV42" s="206"/>
      <c r="BW42" s="207"/>
      <c r="BX42" s="214">
        <f t="shared" si="62"/>
        <v>0</v>
      </c>
      <c r="BY42" s="215">
        <f t="shared" si="63"/>
        <v>982820</v>
      </c>
      <c r="BZ42" s="207">
        <f t="shared" si="64"/>
        <v>707284</v>
      </c>
      <c r="CA42" s="208">
        <f t="shared" si="65"/>
        <v>275536</v>
      </c>
    </row>
    <row r="43" spans="1:79" ht="16.5">
      <c r="A43" s="325" t="s">
        <v>157</v>
      </c>
      <c r="B43" s="204"/>
      <c r="C43" s="205"/>
      <c r="D43" s="364">
        <f t="shared" si="36"/>
        <v>0</v>
      </c>
      <c r="E43" s="206"/>
      <c r="F43" s="207"/>
      <c r="G43" s="208">
        <f t="shared" si="37"/>
        <v>0</v>
      </c>
      <c r="H43" s="206"/>
      <c r="I43" s="207"/>
      <c r="J43" s="208">
        <f t="shared" si="38"/>
        <v>0</v>
      </c>
      <c r="K43" s="206"/>
      <c r="L43" s="207"/>
      <c r="M43" s="212">
        <f t="shared" si="39"/>
        <v>0</v>
      </c>
      <c r="N43" s="206"/>
      <c r="O43" s="207"/>
      <c r="P43" s="208">
        <f t="shared" si="40"/>
        <v>0</v>
      </c>
      <c r="Q43" s="206"/>
      <c r="R43" s="207"/>
      <c r="S43" s="208">
        <f t="shared" si="41"/>
        <v>0</v>
      </c>
      <c r="T43" s="215"/>
      <c r="U43" s="207"/>
      <c r="V43" s="208">
        <f t="shared" si="42"/>
        <v>0</v>
      </c>
      <c r="W43" s="206"/>
      <c r="X43" s="207"/>
      <c r="Y43" s="208">
        <f t="shared" si="43"/>
        <v>0</v>
      </c>
      <c r="Z43" s="206"/>
      <c r="AA43" s="207"/>
      <c r="AB43" s="208"/>
      <c r="AC43" s="206"/>
      <c r="AD43" s="207"/>
      <c r="AE43" s="208">
        <f t="shared" si="45"/>
        <v>0</v>
      </c>
      <c r="AF43" s="206"/>
      <c r="AG43" s="207"/>
      <c r="AH43" s="208">
        <f t="shared" si="46"/>
        <v>0</v>
      </c>
      <c r="AI43" s="206"/>
      <c r="AJ43" s="207"/>
      <c r="AK43" s="208">
        <f t="shared" si="47"/>
        <v>0</v>
      </c>
      <c r="AL43" s="578">
        <v>91811</v>
      </c>
      <c r="AM43" s="209">
        <v>53255</v>
      </c>
      <c r="AN43" s="579">
        <f t="shared" si="48"/>
        <v>38556</v>
      </c>
      <c r="AO43" s="206"/>
      <c r="AP43" s="207"/>
      <c r="AQ43" s="208">
        <f t="shared" si="49"/>
        <v>0</v>
      </c>
      <c r="AR43" s="392"/>
      <c r="AS43" s="393"/>
      <c r="AT43" s="682">
        <f t="shared" si="50"/>
        <v>0</v>
      </c>
      <c r="AU43" s="206"/>
      <c r="AV43" s="207"/>
      <c r="AW43" s="208">
        <f t="shared" si="51"/>
        <v>0</v>
      </c>
      <c r="AX43" s="206"/>
      <c r="AY43" s="207"/>
      <c r="AZ43" s="208">
        <f t="shared" si="52"/>
        <v>0</v>
      </c>
      <c r="BA43" s="206"/>
      <c r="BB43" s="207"/>
      <c r="BC43" s="208">
        <f t="shared" si="53"/>
        <v>0</v>
      </c>
      <c r="BD43" s="210"/>
      <c r="BE43" s="207"/>
      <c r="BF43" s="221">
        <f t="shared" si="54"/>
        <v>0</v>
      </c>
      <c r="BG43" s="16">
        <v>255058</v>
      </c>
      <c r="BH43" s="17">
        <v>156302</v>
      </c>
      <c r="BI43" s="18">
        <f t="shared" si="55"/>
        <v>98756</v>
      </c>
      <c r="BJ43" s="580"/>
      <c r="BK43" s="213"/>
      <c r="BL43" s="214">
        <f t="shared" si="56"/>
        <v>0</v>
      </c>
      <c r="BM43" s="580">
        <v>271210</v>
      </c>
      <c r="BN43" s="213">
        <v>216653</v>
      </c>
      <c r="BO43" s="214">
        <f t="shared" si="57"/>
        <v>54557</v>
      </c>
      <c r="BP43" s="206"/>
      <c r="BQ43" s="207"/>
      <c r="BR43" s="358">
        <f t="shared" si="58"/>
        <v>0</v>
      </c>
      <c r="BS43" s="215">
        <f t="shared" si="59"/>
        <v>618079</v>
      </c>
      <c r="BT43" s="207">
        <f t="shared" si="60"/>
        <v>426210</v>
      </c>
      <c r="BU43" s="208">
        <f t="shared" si="61"/>
        <v>191869</v>
      </c>
      <c r="BV43" s="206"/>
      <c r="BW43" s="207"/>
      <c r="BX43" s="214">
        <f t="shared" si="62"/>
        <v>0</v>
      </c>
      <c r="BY43" s="215">
        <f t="shared" si="63"/>
        <v>618079</v>
      </c>
      <c r="BZ43" s="207">
        <f t="shared" si="64"/>
        <v>426210</v>
      </c>
      <c r="CA43" s="208">
        <f t="shared" si="65"/>
        <v>191869</v>
      </c>
    </row>
    <row r="44" spans="1:79" ht="16.5">
      <c r="A44" s="325" t="s">
        <v>158</v>
      </c>
      <c r="B44" s="204"/>
      <c r="C44" s="205"/>
      <c r="D44" s="364">
        <f t="shared" si="36"/>
        <v>0</v>
      </c>
      <c r="E44" s="206"/>
      <c r="F44" s="207"/>
      <c r="G44" s="208">
        <f t="shared" si="37"/>
        <v>0</v>
      </c>
      <c r="H44" s="206"/>
      <c r="I44" s="207"/>
      <c r="J44" s="208">
        <f t="shared" si="38"/>
        <v>0</v>
      </c>
      <c r="K44" s="206">
        <v>28153</v>
      </c>
      <c r="L44" s="207">
        <v>16711</v>
      </c>
      <c r="M44" s="212">
        <f t="shared" si="39"/>
        <v>11442</v>
      </c>
      <c r="N44" s="206"/>
      <c r="O44" s="207"/>
      <c r="P44" s="208">
        <f t="shared" si="40"/>
        <v>0</v>
      </c>
      <c r="Q44" s="206"/>
      <c r="R44" s="207"/>
      <c r="S44" s="208">
        <f t="shared" si="41"/>
        <v>0</v>
      </c>
      <c r="T44" s="215"/>
      <c r="U44" s="207"/>
      <c r="V44" s="208">
        <f t="shared" si="42"/>
        <v>0</v>
      </c>
      <c r="W44" s="206"/>
      <c r="X44" s="207"/>
      <c r="Y44" s="208">
        <f t="shared" si="43"/>
        <v>0</v>
      </c>
      <c r="Z44" s="206"/>
      <c r="AA44" s="207"/>
      <c r="AB44" s="208"/>
      <c r="AC44" s="206"/>
      <c r="AD44" s="207"/>
      <c r="AE44" s="208">
        <f t="shared" si="45"/>
        <v>0</v>
      </c>
      <c r="AF44" s="206"/>
      <c r="AG44" s="207"/>
      <c r="AH44" s="208">
        <f t="shared" si="46"/>
        <v>0</v>
      </c>
      <c r="AI44" s="206"/>
      <c r="AJ44" s="207"/>
      <c r="AK44" s="208">
        <f t="shared" si="47"/>
        <v>0</v>
      </c>
      <c r="AL44" s="578">
        <v>15443</v>
      </c>
      <c r="AM44" s="209">
        <v>722</v>
      </c>
      <c r="AN44" s="579">
        <f t="shared" si="48"/>
        <v>14721</v>
      </c>
      <c r="AO44" s="206"/>
      <c r="AP44" s="207"/>
      <c r="AQ44" s="208">
        <f t="shared" si="49"/>
        <v>0</v>
      </c>
      <c r="AR44" s="392"/>
      <c r="AS44" s="393"/>
      <c r="AT44" s="682">
        <f t="shared" si="50"/>
        <v>0</v>
      </c>
      <c r="AU44" s="206"/>
      <c r="AV44" s="207"/>
      <c r="AW44" s="208">
        <f t="shared" si="51"/>
        <v>0</v>
      </c>
      <c r="AX44" s="206"/>
      <c r="AY44" s="207"/>
      <c r="AZ44" s="208">
        <f t="shared" si="52"/>
        <v>0</v>
      </c>
      <c r="BA44" s="206"/>
      <c r="BB44" s="207"/>
      <c r="BC44" s="208">
        <f t="shared" si="53"/>
        <v>0</v>
      </c>
      <c r="BD44" s="210"/>
      <c r="BE44" s="207"/>
      <c r="BF44" s="221">
        <f t="shared" si="54"/>
        <v>0</v>
      </c>
      <c r="BG44" s="16"/>
      <c r="BH44" s="17"/>
      <c r="BI44" s="18">
        <f t="shared" si="55"/>
        <v>0</v>
      </c>
      <c r="BJ44" s="580"/>
      <c r="BK44" s="213"/>
      <c r="BL44" s="214">
        <f t="shared" si="56"/>
        <v>0</v>
      </c>
      <c r="BM44" s="580"/>
      <c r="BN44" s="213"/>
      <c r="BO44" s="214">
        <f t="shared" si="57"/>
        <v>0</v>
      </c>
      <c r="BP44" s="206"/>
      <c r="BQ44" s="207"/>
      <c r="BR44" s="358">
        <f t="shared" si="58"/>
        <v>0</v>
      </c>
      <c r="BS44" s="215">
        <f t="shared" si="59"/>
        <v>43596</v>
      </c>
      <c r="BT44" s="207">
        <f t="shared" si="60"/>
        <v>17433</v>
      </c>
      <c r="BU44" s="208">
        <f t="shared" si="61"/>
        <v>26163</v>
      </c>
      <c r="BV44" s="206"/>
      <c r="BW44" s="207"/>
      <c r="BX44" s="214">
        <f t="shared" si="62"/>
        <v>0</v>
      </c>
      <c r="BY44" s="215">
        <f t="shared" si="63"/>
        <v>43596</v>
      </c>
      <c r="BZ44" s="207">
        <f t="shared" si="64"/>
        <v>17433</v>
      </c>
      <c r="CA44" s="208">
        <f t="shared" si="65"/>
        <v>26163</v>
      </c>
    </row>
    <row r="45" spans="1:79" ht="16.5">
      <c r="A45" s="325" t="s">
        <v>159</v>
      </c>
      <c r="B45" s="204"/>
      <c r="C45" s="205"/>
      <c r="D45" s="364">
        <f t="shared" si="36"/>
        <v>0</v>
      </c>
      <c r="E45" s="206"/>
      <c r="F45" s="207"/>
      <c r="G45" s="208">
        <f t="shared" si="37"/>
        <v>0</v>
      </c>
      <c r="H45" s="206"/>
      <c r="I45" s="207"/>
      <c r="J45" s="208">
        <f t="shared" si="38"/>
        <v>0</v>
      </c>
      <c r="K45" s="206">
        <v>171028</v>
      </c>
      <c r="L45" s="207">
        <v>151066</v>
      </c>
      <c r="M45" s="212">
        <f t="shared" si="39"/>
        <v>19962</v>
      </c>
      <c r="N45" s="206"/>
      <c r="O45" s="207"/>
      <c r="P45" s="208">
        <f t="shared" si="40"/>
        <v>0</v>
      </c>
      <c r="Q45" s="206"/>
      <c r="R45" s="207"/>
      <c r="S45" s="208">
        <f t="shared" si="41"/>
        <v>0</v>
      </c>
      <c r="T45" s="215"/>
      <c r="U45" s="207"/>
      <c r="V45" s="208">
        <f t="shared" si="42"/>
        <v>0</v>
      </c>
      <c r="W45" s="206"/>
      <c r="X45" s="207"/>
      <c r="Y45" s="208">
        <f t="shared" si="43"/>
        <v>0</v>
      </c>
      <c r="Z45" s="206"/>
      <c r="AA45" s="207"/>
      <c r="AB45" s="208"/>
      <c r="AC45" s="206"/>
      <c r="AD45" s="207"/>
      <c r="AE45" s="208">
        <f t="shared" si="45"/>
        <v>0</v>
      </c>
      <c r="AF45" s="206"/>
      <c r="AG45" s="207"/>
      <c r="AH45" s="208">
        <f t="shared" si="46"/>
        <v>0</v>
      </c>
      <c r="AI45" s="206"/>
      <c r="AJ45" s="207"/>
      <c r="AK45" s="208">
        <f t="shared" si="47"/>
        <v>0</v>
      </c>
      <c r="AL45" s="578"/>
      <c r="AM45" s="209"/>
      <c r="AN45" s="579">
        <f t="shared" si="48"/>
        <v>0</v>
      </c>
      <c r="AO45" s="206"/>
      <c r="AP45" s="207"/>
      <c r="AQ45" s="208">
        <f t="shared" si="49"/>
        <v>0</v>
      </c>
      <c r="AR45" s="392"/>
      <c r="AS45" s="393"/>
      <c r="AT45" s="682">
        <f t="shared" si="50"/>
        <v>0</v>
      </c>
      <c r="AU45" s="206"/>
      <c r="AV45" s="207"/>
      <c r="AW45" s="208">
        <f t="shared" si="51"/>
        <v>0</v>
      </c>
      <c r="AX45" s="206"/>
      <c r="AY45" s="207"/>
      <c r="AZ45" s="208">
        <f t="shared" si="52"/>
        <v>0</v>
      </c>
      <c r="BA45" s="206"/>
      <c r="BB45" s="207"/>
      <c r="BC45" s="208">
        <f t="shared" si="53"/>
        <v>0</v>
      </c>
      <c r="BD45" s="210"/>
      <c r="BE45" s="207"/>
      <c r="BF45" s="221">
        <f t="shared" si="54"/>
        <v>0</v>
      </c>
      <c r="BG45" s="16"/>
      <c r="BH45" s="17"/>
      <c r="BI45" s="18">
        <f t="shared" si="55"/>
        <v>0</v>
      </c>
      <c r="BJ45" s="580"/>
      <c r="BK45" s="213"/>
      <c r="BL45" s="214">
        <f t="shared" si="56"/>
        <v>0</v>
      </c>
      <c r="BM45" s="580">
        <v>11651</v>
      </c>
      <c r="BN45" s="213">
        <v>7677</v>
      </c>
      <c r="BO45" s="214">
        <f t="shared" si="57"/>
        <v>3974</v>
      </c>
      <c r="BP45" s="206"/>
      <c r="BQ45" s="207"/>
      <c r="BR45" s="358">
        <f t="shared" si="58"/>
        <v>0</v>
      </c>
      <c r="BS45" s="215">
        <f t="shared" si="59"/>
        <v>182679</v>
      </c>
      <c r="BT45" s="207">
        <f t="shared" si="60"/>
        <v>158743</v>
      </c>
      <c r="BU45" s="208">
        <f t="shared" si="61"/>
        <v>23936</v>
      </c>
      <c r="BV45" s="206"/>
      <c r="BW45" s="207"/>
      <c r="BX45" s="214">
        <f t="shared" si="62"/>
        <v>0</v>
      </c>
      <c r="BY45" s="215">
        <f t="shared" si="63"/>
        <v>182679</v>
      </c>
      <c r="BZ45" s="207">
        <f t="shared" si="64"/>
        <v>158743</v>
      </c>
      <c r="CA45" s="208">
        <f t="shared" si="65"/>
        <v>23936</v>
      </c>
    </row>
    <row r="46" spans="1:79" ht="16.5">
      <c r="A46" s="325" t="s">
        <v>160</v>
      </c>
      <c r="B46" s="204"/>
      <c r="C46" s="205"/>
      <c r="D46" s="364">
        <f t="shared" si="36"/>
        <v>0</v>
      </c>
      <c r="E46" s="206"/>
      <c r="F46" s="207"/>
      <c r="G46" s="208">
        <f t="shared" si="37"/>
        <v>0</v>
      </c>
      <c r="H46" s="206"/>
      <c r="I46" s="207"/>
      <c r="J46" s="208">
        <f t="shared" si="38"/>
        <v>0</v>
      </c>
      <c r="K46" s="206">
        <v>23542</v>
      </c>
      <c r="L46" s="207">
        <v>13360</v>
      </c>
      <c r="M46" s="212">
        <f t="shared" si="39"/>
        <v>10182</v>
      </c>
      <c r="N46" s="206"/>
      <c r="O46" s="207"/>
      <c r="P46" s="208">
        <f t="shared" si="40"/>
        <v>0</v>
      </c>
      <c r="Q46" s="206"/>
      <c r="R46" s="207"/>
      <c r="S46" s="208">
        <f t="shared" si="41"/>
        <v>0</v>
      </c>
      <c r="T46" s="215"/>
      <c r="U46" s="207"/>
      <c r="V46" s="208">
        <f t="shared" si="42"/>
        <v>0</v>
      </c>
      <c r="W46" s="206"/>
      <c r="X46" s="207"/>
      <c r="Y46" s="208">
        <f t="shared" si="43"/>
        <v>0</v>
      </c>
      <c r="Z46" s="206"/>
      <c r="AA46" s="207"/>
      <c r="AB46" s="208"/>
      <c r="AC46" s="206"/>
      <c r="AD46" s="207"/>
      <c r="AE46" s="208">
        <f t="shared" si="45"/>
        <v>0</v>
      </c>
      <c r="AF46" s="206"/>
      <c r="AG46" s="207"/>
      <c r="AH46" s="208">
        <f t="shared" si="46"/>
        <v>0</v>
      </c>
      <c r="AI46" s="206">
        <v>311662</v>
      </c>
      <c r="AJ46" s="207">
        <v>181265</v>
      </c>
      <c r="AK46" s="208">
        <f t="shared" si="47"/>
        <v>130397</v>
      </c>
      <c r="AL46" s="578"/>
      <c r="AM46" s="209"/>
      <c r="AN46" s="579">
        <f t="shared" si="48"/>
        <v>0</v>
      </c>
      <c r="AO46" s="206"/>
      <c r="AP46" s="207"/>
      <c r="AQ46" s="208">
        <f t="shared" si="49"/>
        <v>0</v>
      </c>
      <c r="AR46" s="392"/>
      <c r="AS46" s="393"/>
      <c r="AT46" s="682">
        <f t="shared" si="50"/>
        <v>0</v>
      </c>
      <c r="AU46" s="206"/>
      <c r="AV46" s="207"/>
      <c r="AW46" s="208">
        <f t="shared" si="51"/>
        <v>0</v>
      </c>
      <c r="AX46" s="206"/>
      <c r="AY46" s="207"/>
      <c r="AZ46" s="208">
        <f t="shared" si="52"/>
        <v>0</v>
      </c>
      <c r="BA46" s="206"/>
      <c r="BB46" s="207"/>
      <c r="BC46" s="208">
        <f t="shared" si="53"/>
        <v>0</v>
      </c>
      <c r="BD46" s="210"/>
      <c r="BE46" s="207"/>
      <c r="BF46" s="221">
        <f t="shared" si="54"/>
        <v>0</v>
      </c>
      <c r="BG46" s="16"/>
      <c r="BH46" s="17"/>
      <c r="BI46" s="18">
        <f t="shared" si="55"/>
        <v>0</v>
      </c>
      <c r="BJ46" s="580"/>
      <c r="BK46" s="213"/>
      <c r="BL46" s="214">
        <f t="shared" si="56"/>
        <v>0</v>
      </c>
      <c r="BM46" s="580"/>
      <c r="BN46" s="213"/>
      <c r="BO46" s="214">
        <f t="shared" si="57"/>
        <v>0</v>
      </c>
      <c r="BP46" s="206"/>
      <c r="BQ46" s="207"/>
      <c r="BR46" s="358">
        <f t="shared" si="58"/>
        <v>0</v>
      </c>
      <c r="BS46" s="215">
        <f t="shared" si="59"/>
        <v>335204</v>
      </c>
      <c r="BT46" s="207">
        <f t="shared" si="60"/>
        <v>194625</v>
      </c>
      <c r="BU46" s="208">
        <f t="shared" si="61"/>
        <v>140579</v>
      </c>
      <c r="BV46" s="206"/>
      <c r="BW46" s="207"/>
      <c r="BX46" s="214">
        <f t="shared" si="62"/>
        <v>0</v>
      </c>
      <c r="BY46" s="215">
        <f t="shared" si="63"/>
        <v>335204</v>
      </c>
      <c r="BZ46" s="207">
        <f t="shared" si="64"/>
        <v>194625</v>
      </c>
      <c r="CA46" s="208">
        <f t="shared" si="65"/>
        <v>140579</v>
      </c>
    </row>
    <row r="47" spans="1:79" ht="16.5">
      <c r="A47" s="325" t="s">
        <v>75</v>
      </c>
      <c r="B47" s="204"/>
      <c r="C47" s="205"/>
      <c r="D47" s="364">
        <f t="shared" si="36"/>
        <v>0</v>
      </c>
      <c r="E47" s="206"/>
      <c r="F47" s="207"/>
      <c r="G47" s="208">
        <f t="shared" si="37"/>
        <v>0</v>
      </c>
      <c r="H47" s="206"/>
      <c r="I47" s="207"/>
      <c r="J47" s="208">
        <f t="shared" si="38"/>
        <v>0</v>
      </c>
      <c r="K47" s="206"/>
      <c r="L47" s="207"/>
      <c r="M47" s="212">
        <f t="shared" si="39"/>
        <v>0</v>
      </c>
      <c r="N47" s="206"/>
      <c r="O47" s="207"/>
      <c r="P47" s="208">
        <f t="shared" si="40"/>
        <v>0</v>
      </c>
      <c r="Q47" s="206">
        <v>11365</v>
      </c>
      <c r="R47" s="207">
        <v>10859</v>
      </c>
      <c r="S47" s="208">
        <f t="shared" si="41"/>
        <v>506</v>
      </c>
      <c r="T47" s="215"/>
      <c r="U47" s="207"/>
      <c r="V47" s="208">
        <f t="shared" si="42"/>
        <v>0</v>
      </c>
      <c r="W47" s="206"/>
      <c r="X47" s="207"/>
      <c r="Y47" s="208">
        <f t="shared" si="43"/>
        <v>0</v>
      </c>
      <c r="Z47" s="206"/>
      <c r="AA47" s="207"/>
      <c r="AB47" s="208"/>
      <c r="AC47" s="206"/>
      <c r="AD47" s="207"/>
      <c r="AE47" s="208">
        <f t="shared" si="45"/>
        <v>0</v>
      </c>
      <c r="AF47" s="206"/>
      <c r="AG47" s="207"/>
      <c r="AH47" s="208">
        <f t="shared" si="46"/>
        <v>0</v>
      </c>
      <c r="AI47" s="206"/>
      <c r="AJ47" s="207"/>
      <c r="AK47" s="208">
        <f t="shared" si="47"/>
        <v>0</v>
      </c>
      <c r="AL47" s="578"/>
      <c r="AM47" s="209"/>
      <c r="AN47" s="579">
        <f t="shared" si="48"/>
        <v>0</v>
      </c>
      <c r="AO47" s="206"/>
      <c r="AP47" s="207"/>
      <c r="AQ47" s="208">
        <f t="shared" si="49"/>
        <v>0</v>
      </c>
      <c r="AR47" s="392"/>
      <c r="AS47" s="393"/>
      <c r="AT47" s="682">
        <f t="shared" si="50"/>
        <v>0</v>
      </c>
      <c r="AU47" s="206"/>
      <c r="AV47" s="207"/>
      <c r="AW47" s="208">
        <f t="shared" si="51"/>
        <v>0</v>
      </c>
      <c r="AX47" s="206"/>
      <c r="AY47" s="207"/>
      <c r="AZ47" s="208">
        <f t="shared" si="52"/>
        <v>0</v>
      </c>
      <c r="BA47" s="206"/>
      <c r="BB47" s="207"/>
      <c r="BC47" s="208">
        <f t="shared" si="53"/>
        <v>0</v>
      </c>
      <c r="BD47" s="210"/>
      <c r="BE47" s="207"/>
      <c r="BF47" s="221">
        <f t="shared" si="54"/>
        <v>0</v>
      </c>
      <c r="BG47" s="16"/>
      <c r="BH47" s="17"/>
      <c r="BI47" s="18">
        <f t="shared" si="55"/>
        <v>0</v>
      </c>
      <c r="BJ47" s="580">
        <v>49812</v>
      </c>
      <c r="BK47" s="213">
        <v>18334</v>
      </c>
      <c r="BL47" s="214">
        <f t="shared" si="56"/>
        <v>31478</v>
      </c>
      <c r="BM47" s="580"/>
      <c r="BN47" s="213"/>
      <c r="BO47" s="214">
        <f t="shared" si="57"/>
        <v>0</v>
      </c>
      <c r="BP47" s="206"/>
      <c r="BQ47" s="207"/>
      <c r="BR47" s="358">
        <f t="shared" si="58"/>
        <v>0</v>
      </c>
      <c r="BS47" s="215">
        <f t="shared" si="59"/>
        <v>61177</v>
      </c>
      <c r="BT47" s="207">
        <f t="shared" si="60"/>
        <v>29193</v>
      </c>
      <c r="BU47" s="208">
        <f t="shared" si="61"/>
        <v>31984</v>
      </c>
      <c r="BV47" s="206">
        <f>134264+27740+2869+6891+460204+528307+649+1304885+18592</f>
        <v>2484401</v>
      </c>
      <c r="BW47" s="207">
        <f>118276+26991+2581+6664+309786+338845+450+1156542+13368</f>
        <v>1973503</v>
      </c>
      <c r="BX47" s="214">
        <f t="shared" si="62"/>
        <v>510898</v>
      </c>
      <c r="BY47" s="215">
        <f t="shared" si="63"/>
        <v>2545578</v>
      </c>
      <c r="BZ47" s="207">
        <f t="shared" si="64"/>
        <v>2002696</v>
      </c>
      <c r="CA47" s="208">
        <f t="shared" si="65"/>
        <v>542882</v>
      </c>
    </row>
    <row r="48" spans="1:79" ht="16.5">
      <c r="A48" s="683" t="s">
        <v>54</v>
      </c>
      <c r="B48" s="204">
        <f>SUM(B32:B47)</f>
        <v>3125174</v>
      </c>
      <c r="C48" s="204">
        <f aca="true" t="shared" si="66" ref="C48:BN48">SUM(C32:C47)</f>
        <v>2456497</v>
      </c>
      <c r="D48" s="204">
        <f t="shared" si="66"/>
        <v>668677</v>
      </c>
      <c r="E48" s="204">
        <f t="shared" si="66"/>
        <v>941831</v>
      </c>
      <c r="F48" s="204">
        <f t="shared" si="66"/>
        <v>833848</v>
      </c>
      <c r="G48" s="204">
        <f t="shared" si="66"/>
        <v>107983</v>
      </c>
      <c r="H48" s="204">
        <f t="shared" si="66"/>
        <v>1484916</v>
      </c>
      <c r="I48" s="204">
        <f t="shared" si="66"/>
        <v>1333916</v>
      </c>
      <c r="J48" s="204">
        <f t="shared" si="66"/>
        <v>151000</v>
      </c>
      <c r="K48" s="204">
        <f t="shared" si="66"/>
        <v>4736028</v>
      </c>
      <c r="L48" s="204">
        <f t="shared" si="66"/>
        <v>2493267</v>
      </c>
      <c r="M48" s="204">
        <f t="shared" si="66"/>
        <v>2242761</v>
      </c>
      <c r="N48" s="204">
        <f t="shared" si="66"/>
        <v>731412</v>
      </c>
      <c r="O48" s="204">
        <f t="shared" si="66"/>
        <v>610911</v>
      </c>
      <c r="P48" s="204">
        <f t="shared" si="66"/>
        <v>120501</v>
      </c>
      <c r="Q48" s="204">
        <f t="shared" si="66"/>
        <v>1279310</v>
      </c>
      <c r="R48" s="204">
        <f t="shared" si="66"/>
        <v>1200932</v>
      </c>
      <c r="S48" s="204">
        <f t="shared" si="66"/>
        <v>78378</v>
      </c>
      <c r="T48" s="204">
        <f t="shared" si="66"/>
        <v>793764</v>
      </c>
      <c r="U48" s="204">
        <f t="shared" si="66"/>
        <v>355744</v>
      </c>
      <c r="V48" s="204">
        <f t="shared" si="66"/>
        <v>438020</v>
      </c>
      <c r="W48" s="204">
        <f t="shared" si="66"/>
        <v>642449</v>
      </c>
      <c r="X48" s="204">
        <f t="shared" si="66"/>
        <v>394889</v>
      </c>
      <c r="Y48" s="204">
        <f t="shared" si="66"/>
        <v>247560</v>
      </c>
      <c r="Z48" s="204">
        <f t="shared" si="66"/>
        <v>1536447</v>
      </c>
      <c r="AA48" s="204">
        <f t="shared" si="66"/>
        <v>1236373</v>
      </c>
      <c r="AB48" s="204">
        <f t="shared" si="66"/>
        <v>300074</v>
      </c>
      <c r="AC48" s="204">
        <f t="shared" si="66"/>
        <v>633998</v>
      </c>
      <c r="AD48" s="204">
        <f t="shared" si="66"/>
        <v>433939</v>
      </c>
      <c r="AE48" s="204">
        <f t="shared" si="66"/>
        <v>200059</v>
      </c>
      <c r="AF48" s="204">
        <f t="shared" si="66"/>
        <v>6794929</v>
      </c>
      <c r="AG48" s="204">
        <f t="shared" si="66"/>
        <v>3426676</v>
      </c>
      <c r="AH48" s="204">
        <f t="shared" si="66"/>
        <v>3368253</v>
      </c>
      <c r="AI48" s="204">
        <f t="shared" si="66"/>
        <v>5145071</v>
      </c>
      <c r="AJ48" s="204">
        <f t="shared" si="66"/>
        <v>3079442</v>
      </c>
      <c r="AK48" s="204">
        <f t="shared" si="66"/>
        <v>2065629</v>
      </c>
      <c r="AL48" s="204">
        <f t="shared" si="66"/>
        <v>2041067</v>
      </c>
      <c r="AM48" s="204">
        <f t="shared" si="66"/>
        <v>580408</v>
      </c>
      <c r="AN48" s="204">
        <f t="shared" si="66"/>
        <v>1460659</v>
      </c>
      <c r="AO48" s="204">
        <f t="shared" si="66"/>
        <v>869971</v>
      </c>
      <c r="AP48" s="204">
        <f t="shared" si="66"/>
        <v>733511</v>
      </c>
      <c r="AQ48" s="204">
        <f t="shared" si="66"/>
        <v>136460</v>
      </c>
      <c r="AR48" s="204">
        <f t="shared" si="66"/>
        <v>2628790</v>
      </c>
      <c r="AS48" s="204">
        <f t="shared" si="66"/>
        <v>2053568</v>
      </c>
      <c r="AT48" s="204">
        <f t="shared" si="66"/>
        <v>575222</v>
      </c>
      <c r="AU48" s="204">
        <f t="shared" si="66"/>
        <v>6653161</v>
      </c>
      <c r="AV48" s="204">
        <f t="shared" si="66"/>
        <v>5063289</v>
      </c>
      <c r="AW48" s="204">
        <f t="shared" si="66"/>
        <v>1589872</v>
      </c>
      <c r="AX48" s="204">
        <f t="shared" si="66"/>
        <v>2200236</v>
      </c>
      <c r="AY48" s="204">
        <f t="shared" si="66"/>
        <v>1494306</v>
      </c>
      <c r="AZ48" s="204">
        <f t="shared" si="66"/>
        <v>705930</v>
      </c>
      <c r="BA48" s="204">
        <f t="shared" si="66"/>
        <v>1316687</v>
      </c>
      <c r="BB48" s="204">
        <f t="shared" si="66"/>
        <v>1038440</v>
      </c>
      <c r="BC48" s="204">
        <f t="shared" si="66"/>
        <v>278247</v>
      </c>
      <c r="BD48" s="204">
        <f t="shared" si="66"/>
        <v>337433</v>
      </c>
      <c r="BE48" s="204">
        <f t="shared" si="66"/>
        <v>241228</v>
      </c>
      <c r="BF48" s="204">
        <f t="shared" si="66"/>
        <v>96205</v>
      </c>
      <c r="BG48" s="64">
        <f t="shared" si="66"/>
        <v>8069532</v>
      </c>
      <c r="BH48" s="64">
        <f t="shared" si="66"/>
        <v>2995269</v>
      </c>
      <c r="BI48" s="64">
        <f t="shared" si="66"/>
        <v>5074263</v>
      </c>
      <c r="BJ48" s="204">
        <f t="shared" si="66"/>
        <v>804922</v>
      </c>
      <c r="BK48" s="204">
        <f t="shared" si="66"/>
        <v>401059</v>
      </c>
      <c r="BL48" s="204">
        <f t="shared" si="66"/>
        <v>403863</v>
      </c>
      <c r="BM48" s="204">
        <f t="shared" si="66"/>
        <v>1004012</v>
      </c>
      <c r="BN48" s="204">
        <f t="shared" si="66"/>
        <v>783419</v>
      </c>
      <c r="BO48" s="204">
        <f aca="true" t="shared" si="67" ref="BO48:CA48">SUM(BO32:BO47)</f>
        <v>220593</v>
      </c>
      <c r="BP48" s="204">
        <f t="shared" si="67"/>
        <v>3952504</v>
      </c>
      <c r="BQ48" s="204">
        <f t="shared" si="67"/>
        <v>2495175</v>
      </c>
      <c r="BR48" s="662">
        <f t="shared" si="67"/>
        <v>1457329</v>
      </c>
      <c r="BS48" s="204">
        <f t="shared" si="67"/>
        <v>57723644</v>
      </c>
      <c r="BT48" s="204">
        <f t="shared" si="67"/>
        <v>35736106</v>
      </c>
      <c r="BU48" s="666">
        <f t="shared" si="67"/>
        <v>21987538</v>
      </c>
      <c r="BV48" s="204">
        <f t="shared" si="67"/>
        <v>48690667</v>
      </c>
      <c r="BW48" s="204">
        <f t="shared" si="67"/>
        <v>24657087</v>
      </c>
      <c r="BX48" s="204">
        <f t="shared" si="67"/>
        <v>24033580</v>
      </c>
      <c r="BY48" s="204">
        <f t="shared" si="67"/>
        <v>106414311</v>
      </c>
      <c r="BZ48" s="204">
        <f t="shared" si="67"/>
        <v>60393193</v>
      </c>
      <c r="CA48" s="204">
        <f t="shared" si="67"/>
        <v>46021118</v>
      </c>
    </row>
    <row r="49" spans="1:79" ht="16.5">
      <c r="A49" s="325" t="s">
        <v>161</v>
      </c>
      <c r="B49" s="581"/>
      <c r="C49" s="220"/>
      <c r="D49" s="221">
        <v>140823</v>
      </c>
      <c r="E49" s="219"/>
      <c r="F49" s="220"/>
      <c r="G49" s="221">
        <v>42700</v>
      </c>
      <c r="H49" s="219"/>
      <c r="I49" s="220"/>
      <c r="J49" s="221">
        <v>1090</v>
      </c>
      <c r="K49" s="219">
        <v>22264</v>
      </c>
      <c r="L49" s="220"/>
      <c r="M49" s="212">
        <v>22264</v>
      </c>
      <c r="N49" s="219"/>
      <c r="O49" s="220"/>
      <c r="P49" s="221">
        <v>9100</v>
      </c>
      <c r="Q49" s="219"/>
      <c r="R49" s="220"/>
      <c r="S49" s="221"/>
      <c r="T49" s="581"/>
      <c r="U49" s="220"/>
      <c r="V49" s="221">
        <v>66569</v>
      </c>
      <c r="W49" s="219"/>
      <c r="X49" s="220"/>
      <c r="Y49" s="221">
        <v>411442</v>
      </c>
      <c r="Z49" s="219"/>
      <c r="AA49" s="220"/>
      <c r="AB49" s="221">
        <v>28316</v>
      </c>
      <c r="AC49" s="219"/>
      <c r="AD49" s="220"/>
      <c r="AE49" s="221">
        <v>33648</v>
      </c>
      <c r="AF49" s="219">
        <v>160905</v>
      </c>
      <c r="AG49" s="220"/>
      <c r="AH49" s="221">
        <v>160905</v>
      </c>
      <c r="AI49" s="219"/>
      <c r="AJ49" s="220"/>
      <c r="AK49" s="221">
        <v>72346</v>
      </c>
      <c r="AL49" s="219">
        <v>9854</v>
      </c>
      <c r="AM49" s="220"/>
      <c r="AN49" s="221">
        <v>9854</v>
      </c>
      <c r="AO49" s="219">
        <v>46122</v>
      </c>
      <c r="AP49" s="220"/>
      <c r="AQ49" s="221">
        <v>46122</v>
      </c>
      <c r="AR49" s="219"/>
      <c r="AS49" s="220"/>
      <c r="AT49" s="221">
        <v>42913</v>
      </c>
      <c r="AU49" s="219"/>
      <c r="AV49" s="220"/>
      <c r="AW49" s="221">
        <v>32874</v>
      </c>
      <c r="AX49" s="219"/>
      <c r="AY49" s="220"/>
      <c r="AZ49" s="221">
        <v>10636</v>
      </c>
      <c r="BA49" s="219"/>
      <c r="BB49" s="220"/>
      <c r="BC49" s="221">
        <v>16755</v>
      </c>
      <c r="BD49" s="219"/>
      <c r="BE49" s="220"/>
      <c r="BF49" s="221"/>
      <c r="BG49" s="16"/>
      <c r="BH49" s="33"/>
      <c r="BI49" s="18">
        <v>310487</v>
      </c>
      <c r="BJ49" s="219"/>
      <c r="BK49" s="220"/>
      <c r="BL49" s="221"/>
      <c r="BM49" s="219"/>
      <c r="BN49" s="220"/>
      <c r="BO49" s="221">
        <f>200+4033</f>
        <v>4233</v>
      </c>
      <c r="BP49" s="219"/>
      <c r="BQ49" s="220"/>
      <c r="BR49" s="663">
        <v>44429</v>
      </c>
      <c r="BS49" s="215">
        <f aca="true" t="shared" si="68" ref="BS49:BU50">B49+E49+H49+K49+N49+Q49+T49+W49+Z49+AC49+AF49+AI49+AL49+AO49+AR49+AU49+AX49+BA49+BD49+BG49+BJ49+BM49+BP49</f>
        <v>239145</v>
      </c>
      <c r="BT49" s="207">
        <f t="shared" si="68"/>
        <v>0</v>
      </c>
      <c r="BU49" s="208">
        <f t="shared" si="68"/>
        <v>1507506</v>
      </c>
      <c r="BV49" s="219">
        <v>1824318</v>
      </c>
      <c r="BW49" s="220"/>
      <c r="BX49" s="221">
        <f>BV49</f>
        <v>1824318</v>
      </c>
      <c r="BY49" s="215">
        <f aca="true" t="shared" si="69" ref="BY49:CA50">BS49+BV49</f>
        <v>2063463</v>
      </c>
      <c r="BZ49" s="207">
        <f t="shared" si="69"/>
        <v>0</v>
      </c>
      <c r="CA49" s="208">
        <f t="shared" si="69"/>
        <v>3331824</v>
      </c>
    </row>
    <row r="50" spans="1:79" s="546" customFormat="1" ht="17.25">
      <c r="A50" s="588" t="s">
        <v>2</v>
      </c>
      <c r="B50" s="589">
        <f aca="true" t="shared" si="70" ref="B50:AY50">B48+B49</f>
        <v>3125174</v>
      </c>
      <c r="C50" s="590">
        <f t="shared" si="70"/>
        <v>2456497</v>
      </c>
      <c r="D50" s="591">
        <f t="shared" si="70"/>
        <v>809500</v>
      </c>
      <c r="E50" s="592">
        <f t="shared" si="70"/>
        <v>941831</v>
      </c>
      <c r="F50" s="590">
        <f t="shared" si="70"/>
        <v>833848</v>
      </c>
      <c r="G50" s="591">
        <f t="shared" si="70"/>
        <v>150683</v>
      </c>
      <c r="H50" s="592">
        <f t="shared" si="70"/>
        <v>1484916</v>
      </c>
      <c r="I50" s="590">
        <f t="shared" si="70"/>
        <v>1333916</v>
      </c>
      <c r="J50" s="591">
        <f t="shared" si="70"/>
        <v>152090</v>
      </c>
      <c r="K50" s="592">
        <f t="shared" si="70"/>
        <v>4758292</v>
      </c>
      <c r="L50" s="590">
        <f t="shared" si="70"/>
        <v>2493267</v>
      </c>
      <c r="M50" s="591">
        <f t="shared" si="70"/>
        <v>2265025</v>
      </c>
      <c r="N50" s="592">
        <f t="shared" si="70"/>
        <v>731412</v>
      </c>
      <c r="O50" s="590">
        <f t="shared" si="70"/>
        <v>610911</v>
      </c>
      <c r="P50" s="591">
        <f t="shared" si="70"/>
        <v>129601</v>
      </c>
      <c r="Q50" s="592">
        <f t="shared" si="70"/>
        <v>1279310</v>
      </c>
      <c r="R50" s="590">
        <f t="shared" si="70"/>
        <v>1200932</v>
      </c>
      <c r="S50" s="591">
        <f t="shared" si="70"/>
        <v>78378</v>
      </c>
      <c r="T50" s="589">
        <f t="shared" si="70"/>
        <v>793764</v>
      </c>
      <c r="U50" s="590">
        <f t="shared" si="70"/>
        <v>355744</v>
      </c>
      <c r="V50" s="591">
        <f t="shared" si="70"/>
        <v>504589</v>
      </c>
      <c r="W50" s="592">
        <f t="shared" si="70"/>
        <v>642449</v>
      </c>
      <c r="X50" s="590">
        <f t="shared" si="70"/>
        <v>394889</v>
      </c>
      <c r="Y50" s="591">
        <f t="shared" si="70"/>
        <v>659002</v>
      </c>
      <c r="Z50" s="592">
        <f t="shared" si="70"/>
        <v>1536447</v>
      </c>
      <c r="AA50" s="590">
        <f t="shared" si="70"/>
        <v>1236373</v>
      </c>
      <c r="AB50" s="591">
        <f t="shared" si="70"/>
        <v>328390</v>
      </c>
      <c r="AC50" s="592">
        <f t="shared" si="70"/>
        <v>633998</v>
      </c>
      <c r="AD50" s="590">
        <f t="shared" si="70"/>
        <v>433939</v>
      </c>
      <c r="AE50" s="591">
        <f t="shared" si="70"/>
        <v>233707</v>
      </c>
      <c r="AF50" s="592">
        <f t="shared" si="70"/>
        <v>6955834</v>
      </c>
      <c r="AG50" s="590">
        <f t="shared" si="70"/>
        <v>3426676</v>
      </c>
      <c r="AH50" s="591">
        <f t="shared" si="70"/>
        <v>3529158</v>
      </c>
      <c r="AI50" s="592">
        <f t="shared" si="70"/>
        <v>5145071</v>
      </c>
      <c r="AJ50" s="590">
        <f t="shared" si="70"/>
        <v>3079442</v>
      </c>
      <c r="AK50" s="591">
        <f t="shared" si="70"/>
        <v>2137975</v>
      </c>
      <c r="AL50" s="592">
        <f t="shared" si="70"/>
        <v>2050921</v>
      </c>
      <c r="AM50" s="590">
        <f t="shared" si="70"/>
        <v>580408</v>
      </c>
      <c r="AN50" s="591">
        <f t="shared" si="70"/>
        <v>1470513</v>
      </c>
      <c r="AO50" s="592">
        <f t="shared" si="70"/>
        <v>916093</v>
      </c>
      <c r="AP50" s="590">
        <f t="shared" si="70"/>
        <v>733511</v>
      </c>
      <c r="AQ50" s="591">
        <f t="shared" si="70"/>
        <v>182582</v>
      </c>
      <c r="AR50" s="592">
        <f t="shared" si="70"/>
        <v>2628790</v>
      </c>
      <c r="AS50" s="590">
        <f t="shared" si="70"/>
        <v>2053568</v>
      </c>
      <c r="AT50" s="591">
        <f t="shared" si="70"/>
        <v>618135</v>
      </c>
      <c r="AU50" s="592">
        <f t="shared" si="70"/>
        <v>6653161</v>
      </c>
      <c r="AV50" s="590">
        <f t="shared" si="70"/>
        <v>5063289</v>
      </c>
      <c r="AW50" s="591">
        <f t="shared" si="70"/>
        <v>1622746</v>
      </c>
      <c r="AX50" s="592">
        <f t="shared" si="70"/>
        <v>2200236</v>
      </c>
      <c r="AY50" s="590">
        <f t="shared" si="70"/>
        <v>1494306</v>
      </c>
      <c r="AZ50" s="591">
        <f aca="true" t="shared" si="71" ref="AZ50:BL50">AZ48+AZ49</f>
        <v>716566</v>
      </c>
      <c r="BA50" s="592">
        <f t="shared" si="71"/>
        <v>1316687</v>
      </c>
      <c r="BB50" s="590">
        <f t="shared" si="71"/>
        <v>1038440</v>
      </c>
      <c r="BC50" s="591">
        <f t="shared" si="71"/>
        <v>295002</v>
      </c>
      <c r="BD50" s="592">
        <f t="shared" si="71"/>
        <v>337433</v>
      </c>
      <c r="BE50" s="590">
        <f t="shared" si="71"/>
        <v>241228</v>
      </c>
      <c r="BF50" s="591">
        <f t="shared" si="71"/>
        <v>96205</v>
      </c>
      <c r="BG50" s="656">
        <f t="shared" si="71"/>
        <v>8069532</v>
      </c>
      <c r="BH50" s="656">
        <f t="shared" si="71"/>
        <v>2995269</v>
      </c>
      <c r="BI50" s="656">
        <f t="shared" si="71"/>
        <v>5384750</v>
      </c>
      <c r="BJ50" s="592">
        <f t="shared" si="71"/>
        <v>804922</v>
      </c>
      <c r="BK50" s="590">
        <f t="shared" si="71"/>
        <v>401059</v>
      </c>
      <c r="BL50" s="590">
        <f t="shared" si="71"/>
        <v>403863</v>
      </c>
      <c r="BM50" s="592">
        <f aca="true" t="shared" si="72" ref="BM50:BR50">BM48+BM49</f>
        <v>1004012</v>
      </c>
      <c r="BN50" s="590">
        <f t="shared" si="72"/>
        <v>783419</v>
      </c>
      <c r="BO50" s="591">
        <f t="shared" si="72"/>
        <v>224826</v>
      </c>
      <c r="BP50" s="592">
        <f t="shared" si="72"/>
        <v>3952504</v>
      </c>
      <c r="BQ50" s="590">
        <f t="shared" si="72"/>
        <v>2495175</v>
      </c>
      <c r="BR50" s="664">
        <f t="shared" si="72"/>
        <v>1501758</v>
      </c>
      <c r="BS50" s="595">
        <f t="shared" si="68"/>
        <v>57962789</v>
      </c>
      <c r="BT50" s="593">
        <f t="shared" si="68"/>
        <v>35736106</v>
      </c>
      <c r="BU50" s="594">
        <f t="shared" si="68"/>
        <v>23495044</v>
      </c>
      <c r="BV50" s="592">
        <f>BV48+BV49</f>
        <v>50514985</v>
      </c>
      <c r="BW50" s="590">
        <f>BW48+BW49</f>
        <v>24657087</v>
      </c>
      <c r="BX50" s="591">
        <f>BX48+BX49</f>
        <v>25857898</v>
      </c>
      <c r="BY50" s="595">
        <f t="shared" si="69"/>
        <v>108477774</v>
      </c>
      <c r="BZ50" s="593">
        <f t="shared" si="69"/>
        <v>60393193</v>
      </c>
      <c r="CA50" s="594">
        <f t="shared" si="69"/>
        <v>49352942</v>
      </c>
    </row>
    <row r="51" spans="1:79" ht="18" thickBot="1">
      <c r="A51" s="326" t="s">
        <v>329</v>
      </c>
      <c r="B51" s="581">
        <v>2772194</v>
      </c>
      <c r="C51" s="220">
        <v>2219252</v>
      </c>
      <c r="D51" s="221">
        <v>646172</v>
      </c>
      <c r="E51" s="219">
        <v>928750</v>
      </c>
      <c r="F51" s="220">
        <v>814660</v>
      </c>
      <c r="G51" s="221">
        <v>138895</v>
      </c>
      <c r="H51" s="219">
        <v>1489367</v>
      </c>
      <c r="I51" s="220">
        <v>1322142</v>
      </c>
      <c r="J51" s="221">
        <v>179908</v>
      </c>
      <c r="K51" s="219">
        <v>4796245</v>
      </c>
      <c r="L51" s="220">
        <v>2598242</v>
      </c>
      <c r="M51" s="582">
        <v>2198003</v>
      </c>
      <c r="N51" s="219">
        <v>677212</v>
      </c>
      <c r="O51" s="220">
        <v>569599</v>
      </c>
      <c r="P51" s="221">
        <v>107614</v>
      </c>
      <c r="Q51" s="219">
        <v>1266233</v>
      </c>
      <c r="R51" s="220">
        <v>1160802</v>
      </c>
      <c r="S51" s="221">
        <v>105431</v>
      </c>
      <c r="T51" s="581">
        <v>453725</v>
      </c>
      <c r="U51" s="220">
        <v>222106</v>
      </c>
      <c r="V51" s="221">
        <v>462605</v>
      </c>
      <c r="W51" s="219">
        <v>480370</v>
      </c>
      <c r="X51" s="220">
        <v>315359</v>
      </c>
      <c r="Y51" s="221"/>
      <c r="Z51" s="219">
        <v>1427955</v>
      </c>
      <c r="AA51" s="220">
        <v>1163618</v>
      </c>
      <c r="AB51" s="221">
        <v>280635</v>
      </c>
      <c r="AC51" s="219">
        <v>504058</v>
      </c>
      <c r="AD51" s="220">
        <v>333945</v>
      </c>
      <c r="AE51" s="221">
        <v>179814</v>
      </c>
      <c r="AF51" s="586">
        <v>7160196</v>
      </c>
      <c r="AG51" s="584">
        <v>3196451</v>
      </c>
      <c r="AH51" s="585">
        <v>3963745</v>
      </c>
      <c r="AI51" s="219">
        <v>4647906</v>
      </c>
      <c r="AJ51" s="220">
        <v>2526866</v>
      </c>
      <c r="AK51" s="221"/>
      <c r="AL51" s="219">
        <v>1855244</v>
      </c>
      <c r="AM51" s="220">
        <v>553757</v>
      </c>
      <c r="AN51" s="221">
        <v>1301487</v>
      </c>
      <c r="AO51" s="219">
        <v>860038</v>
      </c>
      <c r="AP51" s="220">
        <v>741511</v>
      </c>
      <c r="AQ51" s="221">
        <v>118527</v>
      </c>
      <c r="AR51" s="219">
        <v>2246967</v>
      </c>
      <c r="AS51" s="220">
        <v>1855335</v>
      </c>
      <c r="AT51" s="221">
        <v>440720</v>
      </c>
      <c r="AU51" s="219">
        <v>5863786</v>
      </c>
      <c r="AV51" s="220">
        <v>4559418</v>
      </c>
      <c r="AW51" s="221">
        <v>1678532</v>
      </c>
      <c r="AX51" s="219">
        <v>2204174</v>
      </c>
      <c r="AY51" s="220">
        <v>1492240</v>
      </c>
      <c r="AZ51" s="221">
        <v>726973</v>
      </c>
      <c r="BA51" s="219">
        <v>1262500</v>
      </c>
      <c r="BB51" s="220">
        <v>954732</v>
      </c>
      <c r="BC51" s="221">
        <v>317174</v>
      </c>
      <c r="BD51" s="219">
        <v>324329</v>
      </c>
      <c r="BE51" s="220">
        <v>226182</v>
      </c>
      <c r="BF51" s="221">
        <v>98147</v>
      </c>
      <c r="BG51" s="657">
        <v>5639962</v>
      </c>
      <c r="BH51" s="658">
        <v>2629734</v>
      </c>
      <c r="BI51" s="659">
        <v>4472485</v>
      </c>
      <c r="BJ51" s="219">
        <v>770874</v>
      </c>
      <c r="BK51" s="220">
        <v>320119</v>
      </c>
      <c r="BL51" s="221"/>
      <c r="BM51" s="219">
        <v>924689</v>
      </c>
      <c r="BN51" s="220">
        <v>712230</v>
      </c>
      <c r="BO51" s="221">
        <v>224536</v>
      </c>
      <c r="BP51" s="219">
        <v>3609623</v>
      </c>
      <c r="BQ51" s="220">
        <v>2515890</v>
      </c>
      <c r="BR51" s="663">
        <v>1136719</v>
      </c>
      <c r="BS51" s="218"/>
      <c r="BT51" s="216"/>
      <c r="BU51" s="217"/>
      <c r="BV51" s="219">
        <v>53848590</v>
      </c>
      <c r="BW51" s="220">
        <v>22734702</v>
      </c>
      <c r="BX51" s="221">
        <v>31113888</v>
      </c>
      <c r="BY51" s="218"/>
      <c r="BZ51" s="216"/>
      <c r="CA51" s="217"/>
    </row>
    <row r="52" spans="1:79" ht="17.25" thickBot="1">
      <c r="A52" s="327" t="s">
        <v>162</v>
      </c>
      <c r="B52" s="583"/>
      <c r="C52" s="584"/>
      <c r="D52" s="585"/>
      <c r="E52" s="586"/>
      <c r="F52" s="584"/>
      <c r="G52" s="585"/>
      <c r="H52" s="586"/>
      <c r="I52" s="584"/>
      <c r="J52" s="585"/>
      <c r="K52" s="586"/>
      <c r="L52" s="584"/>
      <c r="M52" s="587"/>
      <c r="N52" s="586"/>
      <c r="O52" s="584"/>
      <c r="P52" s="585"/>
      <c r="Q52" s="586"/>
      <c r="R52" s="584"/>
      <c r="S52" s="585"/>
      <c r="T52" s="583"/>
      <c r="U52" s="584"/>
      <c r="V52" s="585"/>
      <c r="W52" s="586"/>
      <c r="X52" s="584"/>
      <c r="Y52" s="585"/>
      <c r="Z52" s="586"/>
      <c r="AA52" s="584"/>
      <c r="AB52" s="585"/>
      <c r="AC52" s="586"/>
      <c r="AD52" s="584"/>
      <c r="AE52" s="585"/>
      <c r="AF52" s="586"/>
      <c r="AG52" s="584"/>
      <c r="AH52" s="585"/>
      <c r="AI52" s="586"/>
      <c r="AJ52" s="584"/>
      <c r="AK52" s="585"/>
      <c r="AL52" s="586"/>
      <c r="AM52" s="584"/>
      <c r="AN52" s="585"/>
      <c r="AO52" s="586"/>
      <c r="AP52" s="584"/>
      <c r="AQ52" s="585"/>
      <c r="AR52" s="586"/>
      <c r="AS52" s="584"/>
      <c r="AT52" s="585"/>
      <c r="AU52" s="586"/>
      <c r="AV52" s="584"/>
      <c r="AW52" s="585"/>
      <c r="AX52" s="586"/>
      <c r="AY52" s="584"/>
      <c r="AZ52" s="585"/>
      <c r="BA52" s="586"/>
      <c r="BB52" s="584"/>
      <c r="BC52" s="585"/>
      <c r="BD52" s="586"/>
      <c r="BE52" s="584"/>
      <c r="BF52" s="585"/>
      <c r="BG52" s="660"/>
      <c r="BH52" s="240"/>
      <c r="BI52" s="241"/>
      <c r="BJ52" s="586"/>
      <c r="BK52" s="584"/>
      <c r="BL52" s="585"/>
      <c r="BM52" s="586"/>
      <c r="BN52" s="584"/>
      <c r="BO52" s="585"/>
      <c r="BP52" s="586"/>
      <c r="BQ52" s="584"/>
      <c r="BR52" s="665"/>
      <c r="BS52" s="583"/>
      <c r="BT52" s="584"/>
      <c r="BU52" s="585"/>
      <c r="BV52" s="586"/>
      <c r="BW52" s="584"/>
      <c r="BX52" s="585"/>
      <c r="BY52" s="583"/>
      <c r="BZ52" s="584"/>
      <c r="CA52" s="585"/>
    </row>
  </sheetData>
  <sheetProtection/>
  <mergeCells count="56">
    <mergeCell ref="BJ30:BL30"/>
    <mergeCell ref="BM30:BO30"/>
    <mergeCell ref="BP30:BR30"/>
    <mergeCell ref="BS30:BU30"/>
    <mergeCell ref="BV30:BX30"/>
    <mergeCell ref="BY30:CA30"/>
    <mergeCell ref="AR30:AT30"/>
    <mergeCell ref="AU30:AW30"/>
    <mergeCell ref="AX30:AZ30"/>
    <mergeCell ref="BA30:BC30"/>
    <mergeCell ref="BD30:BF30"/>
    <mergeCell ref="BG30:BI30"/>
    <mergeCell ref="Z30:AB30"/>
    <mergeCell ref="AC30:AE30"/>
    <mergeCell ref="AF30:AH30"/>
    <mergeCell ref="AI30:AK30"/>
    <mergeCell ref="AL30:AN30"/>
    <mergeCell ref="AO30:AQ30"/>
    <mergeCell ref="A28:BZ28"/>
    <mergeCell ref="A29:BZ29"/>
    <mergeCell ref="B30:D30"/>
    <mergeCell ref="E30:G30"/>
    <mergeCell ref="H30:J30"/>
    <mergeCell ref="K30:M30"/>
    <mergeCell ref="N30:P30"/>
    <mergeCell ref="Q30:S30"/>
    <mergeCell ref="T30:V30"/>
    <mergeCell ref="W30:Y30"/>
    <mergeCell ref="A1:BZ1"/>
    <mergeCell ref="A2:BZ2"/>
    <mergeCell ref="B3:D3"/>
    <mergeCell ref="E3:G3"/>
    <mergeCell ref="H3:J3"/>
    <mergeCell ref="K3:M3"/>
    <mergeCell ref="N3:P3"/>
    <mergeCell ref="Q3:S3"/>
    <mergeCell ref="T3:V3"/>
    <mergeCell ref="BM3:BO3"/>
    <mergeCell ref="BP3:BR3"/>
    <mergeCell ref="W3:Y3"/>
    <mergeCell ref="Z3:AB3"/>
    <mergeCell ref="AC3:AE3"/>
    <mergeCell ref="AF3:AH3"/>
    <mergeCell ref="AI3:AK3"/>
    <mergeCell ref="AL3:AN3"/>
    <mergeCell ref="AO3:AQ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BJ3:BL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6" sqref="B26"/>
    </sheetView>
  </sheetViews>
  <sheetFormatPr defaultColWidth="9.140625" defaultRowHeight="15"/>
  <cols>
    <col min="1" max="1" width="62.421875" style="115" customWidth="1"/>
    <col min="2" max="2" width="11.7109375" style="115" customWidth="1"/>
    <col min="3" max="3" width="10.421875" style="115" bestFit="1" customWidth="1"/>
    <col min="4" max="4" width="10.421875" style="115" customWidth="1"/>
    <col min="5" max="5" width="13.8515625" style="115" bestFit="1" customWidth="1"/>
    <col min="6" max="6" width="13.8515625" style="115" customWidth="1"/>
    <col min="7" max="7" width="10.7109375" style="115" bestFit="1" customWidth="1"/>
    <col min="8" max="8" width="10.7109375" style="115" customWidth="1"/>
    <col min="9" max="9" width="10.57421875" style="115" bestFit="1" customWidth="1"/>
    <col min="10" max="10" width="10.57421875" style="115" customWidth="1"/>
    <col min="11" max="11" width="10.421875" style="115" bestFit="1" customWidth="1"/>
    <col min="12" max="12" width="10.421875" style="115" customWidth="1"/>
    <col min="13" max="13" width="13.8515625" style="115" bestFit="1" customWidth="1"/>
    <col min="14" max="14" width="13.8515625" style="115" customWidth="1"/>
    <col min="15" max="15" width="12.140625" style="115" bestFit="1" customWidth="1"/>
    <col min="16" max="16" width="12.140625" style="115" customWidth="1"/>
    <col min="17" max="17" width="10.421875" style="115" bestFit="1" customWidth="1"/>
    <col min="18" max="18" width="10.421875" style="115" customWidth="1"/>
    <col min="19" max="19" width="10.421875" style="115" bestFit="1" customWidth="1"/>
    <col min="20" max="20" width="10.421875" style="115" customWidth="1"/>
    <col min="21" max="21" width="12.140625" style="115" bestFit="1" customWidth="1"/>
    <col min="22" max="22" width="12.140625" style="115" customWidth="1"/>
    <col min="23" max="23" width="10.421875" style="115" bestFit="1" customWidth="1"/>
    <col min="24" max="24" width="10.421875" style="115" customWidth="1"/>
    <col min="25" max="25" width="12.140625" style="115" bestFit="1" customWidth="1"/>
    <col min="26" max="26" width="12.140625" style="115" customWidth="1"/>
    <col min="27" max="27" width="10.421875" style="115" bestFit="1" customWidth="1"/>
    <col min="28" max="28" width="10.421875" style="115" customWidth="1"/>
    <col min="29" max="29" width="10.421875" style="115" bestFit="1" customWidth="1"/>
    <col min="30" max="30" width="10.421875" style="115" customWidth="1"/>
    <col min="31" max="31" width="11.7109375" style="115" bestFit="1" customWidth="1"/>
    <col min="32" max="32" width="11.7109375" style="115" customWidth="1"/>
    <col min="33" max="33" width="10.421875" style="115" bestFit="1" customWidth="1"/>
    <col min="34" max="34" width="10.421875" style="115" customWidth="1"/>
    <col min="35" max="35" width="11.00390625" style="115" bestFit="1" customWidth="1"/>
    <col min="36" max="36" width="11.00390625" style="115" customWidth="1"/>
    <col min="37" max="37" width="10.421875" style="115" bestFit="1" customWidth="1"/>
    <col min="38" max="38" width="10.421875" style="115" customWidth="1"/>
    <col min="39" max="39" width="10.421875" style="115" bestFit="1" customWidth="1"/>
    <col min="40" max="40" width="10.421875" style="115" customWidth="1"/>
    <col min="41" max="41" width="10.421875" style="115" bestFit="1" customWidth="1"/>
    <col min="42" max="42" width="10.421875" style="115" customWidth="1"/>
    <col min="43" max="43" width="10.421875" style="115" bestFit="1" customWidth="1"/>
    <col min="44" max="44" width="10.421875" style="115" customWidth="1"/>
    <col min="45" max="45" width="10.7109375" style="115" bestFit="1" customWidth="1"/>
    <col min="46" max="46" width="10.7109375" style="115" customWidth="1"/>
    <col min="47" max="47" width="10.421875" style="115" bestFit="1" customWidth="1"/>
    <col min="48" max="48" width="15.57421875" style="115" bestFit="1" customWidth="1"/>
    <col min="49" max="49" width="17.8515625" style="115" customWidth="1"/>
    <col min="50" max="51" width="12.8515625" style="115" bestFit="1" customWidth="1"/>
    <col min="52" max="52" width="12.8515625" style="115" customWidth="1"/>
    <col min="53" max="53" width="15.7109375" style="115" customWidth="1"/>
    <col min="54" max="16384" width="9.140625" style="115" customWidth="1"/>
  </cols>
  <sheetData>
    <row r="1" spans="1:2" ht="17.25" thickBot="1">
      <c r="A1" s="441" t="s">
        <v>250</v>
      </c>
      <c r="B1" s="441"/>
    </row>
    <row r="2" spans="1:53" s="446" customFormat="1" ht="75" customHeight="1" thickBot="1">
      <c r="A2" s="1088" t="s">
        <v>0</v>
      </c>
      <c r="B2" s="1090" t="s">
        <v>117</v>
      </c>
      <c r="C2" s="1091"/>
      <c r="D2" s="1005" t="s">
        <v>118</v>
      </c>
      <c r="E2" s="1006"/>
      <c r="F2" s="1005" t="s">
        <v>119</v>
      </c>
      <c r="G2" s="1006"/>
      <c r="H2" s="1005" t="s">
        <v>120</v>
      </c>
      <c r="I2" s="1006"/>
      <c r="J2" s="1005" t="s">
        <v>121</v>
      </c>
      <c r="K2" s="1006"/>
      <c r="L2" s="1005" t="s">
        <v>122</v>
      </c>
      <c r="M2" s="1006"/>
      <c r="N2" s="1005" t="s">
        <v>123</v>
      </c>
      <c r="O2" s="1006"/>
      <c r="P2" s="1005" t="s">
        <v>124</v>
      </c>
      <c r="Q2" s="1006"/>
      <c r="R2" s="1005" t="s">
        <v>125</v>
      </c>
      <c r="S2" s="1006"/>
      <c r="T2" s="1005" t="s">
        <v>126</v>
      </c>
      <c r="U2" s="1006"/>
      <c r="V2" s="1005" t="s">
        <v>127</v>
      </c>
      <c r="W2" s="1006"/>
      <c r="X2" s="1005" t="s">
        <v>128</v>
      </c>
      <c r="Y2" s="1006"/>
      <c r="Z2" s="1005" t="s">
        <v>129</v>
      </c>
      <c r="AA2" s="1006"/>
      <c r="AB2" s="1005" t="s">
        <v>130</v>
      </c>
      <c r="AC2" s="1006"/>
      <c r="AD2" s="1005" t="s">
        <v>131</v>
      </c>
      <c r="AE2" s="1006"/>
      <c r="AF2" s="1005" t="s">
        <v>132</v>
      </c>
      <c r="AG2" s="1006"/>
      <c r="AH2" s="1005" t="s">
        <v>133</v>
      </c>
      <c r="AI2" s="1006"/>
      <c r="AJ2" s="1005" t="s">
        <v>134</v>
      </c>
      <c r="AK2" s="1006"/>
      <c r="AL2" s="1005" t="s">
        <v>135</v>
      </c>
      <c r="AM2" s="1006"/>
      <c r="AN2" s="1005" t="s">
        <v>136</v>
      </c>
      <c r="AO2" s="1006"/>
      <c r="AP2" s="1005" t="s">
        <v>137</v>
      </c>
      <c r="AQ2" s="1006"/>
      <c r="AR2" s="1005" t="s">
        <v>138</v>
      </c>
      <c r="AS2" s="1006"/>
      <c r="AT2" s="1005" t="s">
        <v>139</v>
      </c>
      <c r="AU2" s="1006"/>
      <c r="AV2" s="1005" t="s">
        <v>1</v>
      </c>
      <c r="AW2" s="1006"/>
      <c r="AX2" s="1005" t="s">
        <v>140</v>
      </c>
      <c r="AY2" s="1006"/>
      <c r="AZ2" s="1005" t="s">
        <v>2</v>
      </c>
      <c r="BA2" s="1006"/>
    </row>
    <row r="3" spans="1:53" s="537" customFormat="1" ht="30.75" customHeight="1" thickBot="1">
      <c r="A3" s="1089"/>
      <c r="B3" s="795" t="s">
        <v>248</v>
      </c>
      <c r="C3" s="795" t="s">
        <v>249</v>
      </c>
      <c r="D3" s="795" t="s">
        <v>248</v>
      </c>
      <c r="E3" s="795" t="s">
        <v>249</v>
      </c>
      <c r="F3" s="795" t="s">
        <v>248</v>
      </c>
      <c r="G3" s="795" t="s">
        <v>249</v>
      </c>
      <c r="H3" s="795" t="s">
        <v>248</v>
      </c>
      <c r="I3" s="795" t="s">
        <v>249</v>
      </c>
      <c r="J3" s="795" t="s">
        <v>248</v>
      </c>
      <c r="K3" s="795" t="s">
        <v>249</v>
      </c>
      <c r="L3" s="795" t="s">
        <v>248</v>
      </c>
      <c r="M3" s="795" t="s">
        <v>249</v>
      </c>
      <c r="N3" s="795" t="s">
        <v>248</v>
      </c>
      <c r="O3" s="795" t="s">
        <v>249</v>
      </c>
      <c r="P3" s="795" t="s">
        <v>248</v>
      </c>
      <c r="Q3" s="795" t="s">
        <v>249</v>
      </c>
      <c r="R3" s="795" t="s">
        <v>248</v>
      </c>
      <c r="S3" s="795" t="s">
        <v>249</v>
      </c>
      <c r="T3" s="795" t="s">
        <v>248</v>
      </c>
      <c r="U3" s="795" t="s">
        <v>249</v>
      </c>
      <c r="V3" s="795" t="s">
        <v>248</v>
      </c>
      <c r="W3" s="795" t="s">
        <v>249</v>
      </c>
      <c r="X3" s="795" t="s">
        <v>248</v>
      </c>
      <c r="Y3" s="795" t="s">
        <v>249</v>
      </c>
      <c r="Z3" s="795" t="s">
        <v>248</v>
      </c>
      <c r="AA3" s="795" t="s">
        <v>249</v>
      </c>
      <c r="AB3" s="795" t="s">
        <v>248</v>
      </c>
      <c r="AC3" s="795" t="s">
        <v>249</v>
      </c>
      <c r="AD3" s="795" t="s">
        <v>248</v>
      </c>
      <c r="AE3" s="795" t="s">
        <v>249</v>
      </c>
      <c r="AF3" s="795" t="s">
        <v>248</v>
      </c>
      <c r="AG3" s="795" t="s">
        <v>249</v>
      </c>
      <c r="AH3" s="795" t="s">
        <v>248</v>
      </c>
      <c r="AI3" s="795" t="s">
        <v>249</v>
      </c>
      <c r="AJ3" s="795" t="s">
        <v>248</v>
      </c>
      <c r="AK3" s="795" t="s">
        <v>249</v>
      </c>
      <c r="AL3" s="795" t="s">
        <v>248</v>
      </c>
      <c r="AM3" s="795" t="s">
        <v>249</v>
      </c>
      <c r="AN3" s="795" t="s">
        <v>248</v>
      </c>
      <c r="AO3" s="795" t="s">
        <v>249</v>
      </c>
      <c r="AP3" s="795" t="s">
        <v>248</v>
      </c>
      <c r="AQ3" s="795" t="s">
        <v>249</v>
      </c>
      <c r="AR3" s="795" t="s">
        <v>248</v>
      </c>
      <c r="AS3" s="795" t="s">
        <v>249</v>
      </c>
      <c r="AT3" s="795" t="s">
        <v>248</v>
      </c>
      <c r="AU3" s="795" t="s">
        <v>249</v>
      </c>
      <c r="AV3" s="795" t="s">
        <v>248</v>
      </c>
      <c r="AW3" s="795" t="s">
        <v>249</v>
      </c>
      <c r="AX3" s="795" t="s">
        <v>248</v>
      </c>
      <c r="AY3" s="795" t="s">
        <v>249</v>
      </c>
      <c r="AZ3" s="795" t="s">
        <v>248</v>
      </c>
      <c r="BA3" s="795" t="s">
        <v>249</v>
      </c>
    </row>
    <row r="4" spans="1:53" ht="16.5">
      <c r="A4" s="322" t="s">
        <v>213</v>
      </c>
      <c r="B4" s="947"/>
      <c r="C4" s="598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8"/>
      <c r="AX4" s="600"/>
      <c r="AY4" s="599"/>
      <c r="AZ4" s="796"/>
      <c r="BA4" s="601"/>
    </row>
    <row r="5" spans="1:53" ht="16.5">
      <c r="A5" s="442" t="s">
        <v>214</v>
      </c>
      <c r="B5" s="948">
        <v>2209973</v>
      </c>
      <c r="C5" s="449">
        <v>2341600</v>
      </c>
      <c r="D5" s="443">
        <v>99011</v>
      </c>
      <c r="E5" s="443">
        <v>91533</v>
      </c>
      <c r="F5" s="443">
        <v>420817</v>
      </c>
      <c r="G5" s="443">
        <v>409482</v>
      </c>
      <c r="H5" s="443">
        <v>1709365</v>
      </c>
      <c r="I5" s="443">
        <v>1770953</v>
      </c>
      <c r="J5" s="443">
        <v>123920</v>
      </c>
      <c r="K5" s="443">
        <v>113275</v>
      </c>
      <c r="L5" s="443">
        <v>682518</v>
      </c>
      <c r="M5" s="443">
        <v>772617</v>
      </c>
      <c r="N5" s="443">
        <v>20706</v>
      </c>
      <c r="O5" s="443">
        <v>23535</v>
      </c>
      <c r="P5" s="443">
        <v>11305</v>
      </c>
      <c r="Q5" s="443">
        <v>21095</v>
      </c>
      <c r="R5" s="443">
        <v>191407</v>
      </c>
      <c r="S5" s="443">
        <v>200160</v>
      </c>
      <c r="T5" s="443">
        <v>71897</v>
      </c>
      <c r="U5" s="443">
        <v>66600</v>
      </c>
      <c r="V5" s="443">
        <v>3748210</v>
      </c>
      <c r="W5" s="443">
        <v>4436051</v>
      </c>
      <c r="X5" s="443">
        <v>5211240</v>
      </c>
      <c r="Y5" s="443">
        <v>6524380</v>
      </c>
      <c r="Z5" s="443">
        <v>152564</v>
      </c>
      <c r="AA5" s="443">
        <v>183471</v>
      </c>
      <c r="AB5" s="443">
        <v>298258</v>
      </c>
      <c r="AC5" s="443">
        <v>321952</v>
      </c>
      <c r="AD5" s="443">
        <v>897519</v>
      </c>
      <c r="AE5" s="443">
        <v>1075373</v>
      </c>
      <c r="AF5" s="443">
        <v>1151106.7</v>
      </c>
      <c r="AG5" s="443">
        <v>1344821.85</v>
      </c>
      <c r="AH5" s="443">
        <v>642985</v>
      </c>
      <c r="AI5" s="443">
        <v>653656</v>
      </c>
      <c r="AJ5" s="443">
        <v>691320</v>
      </c>
      <c r="AK5" s="443">
        <v>687218</v>
      </c>
      <c r="AL5" s="443">
        <v>18655</v>
      </c>
      <c r="AM5" s="443">
        <v>14284</v>
      </c>
      <c r="AN5" s="443">
        <v>3360733</v>
      </c>
      <c r="AO5" s="443">
        <v>4134977</v>
      </c>
      <c r="AP5" s="443">
        <v>86984</v>
      </c>
      <c r="AQ5" s="443">
        <v>77636</v>
      </c>
      <c r="AR5" s="443">
        <v>290665</v>
      </c>
      <c r="AS5" s="443">
        <v>273505</v>
      </c>
      <c r="AT5" s="443">
        <v>736144</v>
      </c>
      <c r="AU5" s="443">
        <v>763081</v>
      </c>
      <c r="AV5" s="443">
        <f>SUM(B5+D5+F5+H5+J5+L5+N5+P5+R5+T5+V5+X5+Z5+AB5+AD5+AF5+AH5+AJ5+AL5+AN5+AP5+AR5+AT5)</f>
        <v>22827302.7</v>
      </c>
      <c r="AW5" s="443">
        <f>SUM(C5+E5+G5+I5+K5+M5+O5+Q5+S5+U5+W5+Y5+AA5+AC5+AE5+AG5+AI5+AK5+AM5+AO5+AQ5+AS5+AU5)</f>
        <v>26301255.85</v>
      </c>
      <c r="AX5" s="448">
        <v>5153492</v>
      </c>
      <c r="AY5" s="443">
        <v>5395241</v>
      </c>
      <c r="AZ5" s="459">
        <f>AV5+AX5</f>
        <v>27980794.7</v>
      </c>
      <c r="BA5" s="449">
        <f>AW5+AY5</f>
        <v>31696496.85</v>
      </c>
    </row>
    <row r="6" spans="1:53" ht="16.5">
      <c r="A6" s="442" t="s">
        <v>215</v>
      </c>
      <c r="B6" s="948"/>
      <c r="C6" s="449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>
        <f aca="true" t="shared" si="0" ref="AV6:AV22">SUM(B6+D6+F6+H6+J6+L6+N6+P6+R6+T6+V6+X6+Z6+AB6+AD6+AF6+AH6+AJ6+AL6+AN6+AP6+AR6+AT6)</f>
        <v>0</v>
      </c>
      <c r="AW6" s="443">
        <f aca="true" t="shared" si="1" ref="AW6:AW22">SUM(C6+E6+G6+I6+K6+M6+O6+Q6+S6+U6+W6+Y6+AA6+AC6+AE6+AG6+AI6+AK6+AM6+AO6+AQ6+AS6+AU6)</f>
        <v>0</v>
      </c>
      <c r="AX6" s="448"/>
      <c r="AY6" s="443"/>
      <c r="AZ6" s="459">
        <f aca="true" t="shared" si="2" ref="AZ6:AZ22">AV6+AX6</f>
        <v>0</v>
      </c>
      <c r="BA6" s="449">
        <f aca="true" t="shared" si="3" ref="BA6:BA22">AW6+AY6</f>
        <v>0</v>
      </c>
    </row>
    <row r="7" spans="1:53" ht="16.5">
      <c r="A7" s="442" t="s">
        <v>216</v>
      </c>
      <c r="B7" s="948">
        <v>155776</v>
      </c>
      <c r="C7" s="449">
        <v>172246</v>
      </c>
      <c r="D7" s="443">
        <v>5153</v>
      </c>
      <c r="E7" s="443">
        <v>4954</v>
      </c>
      <c r="F7" s="443">
        <v>59353</v>
      </c>
      <c r="G7" s="443">
        <v>55614</v>
      </c>
      <c r="H7" s="443">
        <v>264803</v>
      </c>
      <c r="I7" s="443">
        <v>337294</v>
      </c>
      <c r="J7" s="443">
        <v>18601</v>
      </c>
      <c r="K7" s="443">
        <v>16074</v>
      </c>
      <c r="L7" s="443">
        <v>12364</v>
      </c>
      <c r="M7" s="443">
        <v>12266</v>
      </c>
      <c r="N7" s="443">
        <v>1815</v>
      </c>
      <c r="O7" s="443">
        <v>1647</v>
      </c>
      <c r="P7" s="443">
        <v>395</v>
      </c>
      <c r="Q7" s="443">
        <v>1076</v>
      </c>
      <c r="R7" s="443">
        <v>16917</v>
      </c>
      <c r="S7" s="443">
        <v>16191</v>
      </c>
      <c r="T7" s="443">
        <v>2213</v>
      </c>
      <c r="U7" s="443">
        <v>2055</v>
      </c>
      <c r="V7" s="443">
        <v>856094</v>
      </c>
      <c r="W7" s="443">
        <v>980150</v>
      </c>
      <c r="X7" s="443">
        <v>2321993</v>
      </c>
      <c r="Y7" s="443">
        <v>2264200</v>
      </c>
      <c r="Z7" s="443">
        <v>11990</v>
      </c>
      <c r="AA7" s="443">
        <v>10430</v>
      </c>
      <c r="AB7" s="443">
        <v>23423</v>
      </c>
      <c r="AC7" s="443">
        <v>20786</v>
      </c>
      <c r="AD7" s="443">
        <v>87122</v>
      </c>
      <c r="AE7" s="443">
        <v>100408</v>
      </c>
      <c r="AF7" s="443">
        <v>154124.56</v>
      </c>
      <c r="AG7" s="443">
        <v>181716.78</v>
      </c>
      <c r="AH7" s="443">
        <v>28931</v>
      </c>
      <c r="AI7" s="443">
        <v>27858</v>
      </c>
      <c r="AJ7" s="443">
        <v>59592</v>
      </c>
      <c r="AK7" s="443">
        <v>60040</v>
      </c>
      <c r="AL7" s="443">
        <v>545</v>
      </c>
      <c r="AM7" s="443">
        <v>546</v>
      </c>
      <c r="AN7" s="443">
        <v>301556</v>
      </c>
      <c r="AO7" s="443">
        <v>387077</v>
      </c>
      <c r="AP7" s="443">
        <v>1436</v>
      </c>
      <c r="AQ7" s="443">
        <v>1324</v>
      </c>
      <c r="AR7" s="443">
        <v>16321</v>
      </c>
      <c r="AS7" s="443">
        <v>14111</v>
      </c>
      <c r="AT7" s="443">
        <v>85840</v>
      </c>
      <c r="AU7" s="443">
        <v>88272</v>
      </c>
      <c r="AV7" s="443">
        <f t="shared" si="0"/>
        <v>4486357.5600000005</v>
      </c>
      <c r="AW7" s="443">
        <f t="shared" si="1"/>
        <v>4756335.779999999</v>
      </c>
      <c r="AX7" s="448">
        <v>2309010</v>
      </c>
      <c r="AY7" s="443">
        <v>2410659</v>
      </c>
      <c r="AZ7" s="459">
        <f t="shared" si="2"/>
        <v>6795367.5600000005</v>
      </c>
      <c r="BA7" s="449">
        <f t="shared" si="3"/>
        <v>7166994.779999999</v>
      </c>
    </row>
    <row r="8" spans="1:53" ht="16.5">
      <c r="A8" s="442" t="s">
        <v>217</v>
      </c>
      <c r="B8" s="948">
        <v>4675</v>
      </c>
      <c r="C8" s="449">
        <v>6008</v>
      </c>
      <c r="D8" s="443"/>
      <c r="E8" s="445"/>
      <c r="F8" s="445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>
        <v>75813</v>
      </c>
      <c r="Y8" s="443">
        <v>88549</v>
      </c>
      <c r="Z8" s="443"/>
      <c r="AA8" s="443"/>
      <c r="AB8" s="443">
        <v>3056</v>
      </c>
      <c r="AC8" s="443">
        <v>2710</v>
      </c>
      <c r="AD8" s="443"/>
      <c r="AE8" s="443"/>
      <c r="AF8" s="443"/>
      <c r="AG8" s="443"/>
      <c r="AH8" s="443"/>
      <c r="AI8" s="443"/>
      <c r="AJ8" s="443">
        <v>6567</v>
      </c>
      <c r="AK8" s="443">
        <v>6832</v>
      </c>
      <c r="AL8" s="443"/>
      <c r="AM8" s="443"/>
      <c r="AN8" s="443"/>
      <c r="AO8" s="443"/>
      <c r="AP8" s="443"/>
      <c r="AQ8" s="443"/>
      <c r="AR8" s="443"/>
      <c r="AS8" s="443"/>
      <c r="AT8" s="443">
        <v>7318</v>
      </c>
      <c r="AU8" s="443">
        <v>7111</v>
      </c>
      <c r="AV8" s="443">
        <f t="shared" si="0"/>
        <v>97429</v>
      </c>
      <c r="AW8" s="443">
        <f t="shared" si="1"/>
        <v>111210</v>
      </c>
      <c r="AX8" s="448">
        <v>138376</v>
      </c>
      <c r="AY8" s="443">
        <v>153870</v>
      </c>
      <c r="AZ8" s="459">
        <f t="shared" si="2"/>
        <v>235805</v>
      </c>
      <c r="BA8" s="449">
        <f t="shared" si="3"/>
        <v>265080</v>
      </c>
    </row>
    <row r="9" spans="1:53" ht="16.5">
      <c r="A9" s="442" t="s">
        <v>219</v>
      </c>
      <c r="B9" s="948"/>
      <c r="C9" s="449"/>
      <c r="D9" s="443"/>
      <c r="E9" s="445"/>
      <c r="F9" s="445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>
        <f t="shared" si="0"/>
        <v>0</v>
      </c>
      <c r="AW9" s="443">
        <f t="shared" si="1"/>
        <v>0</v>
      </c>
      <c r="AX9" s="448"/>
      <c r="AY9" s="443"/>
      <c r="AZ9" s="459">
        <f t="shared" si="2"/>
        <v>0</v>
      </c>
      <c r="BA9" s="449">
        <f t="shared" si="3"/>
        <v>0</v>
      </c>
    </row>
    <row r="10" spans="1:53" ht="16.5">
      <c r="A10" s="442" t="s">
        <v>220</v>
      </c>
      <c r="B10" s="948"/>
      <c r="C10" s="449"/>
      <c r="D10" s="443"/>
      <c r="E10" s="445"/>
      <c r="F10" s="445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>
        <v>7853</v>
      </c>
      <c r="S10" s="443">
        <v>8156</v>
      </c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>
        <f t="shared" si="0"/>
        <v>7853</v>
      </c>
      <c r="AW10" s="443">
        <f t="shared" si="1"/>
        <v>8156</v>
      </c>
      <c r="AX10" s="448"/>
      <c r="AY10" s="443"/>
      <c r="AZ10" s="459">
        <f t="shared" si="2"/>
        <v>7853</v>
      </c>
      <c r="BA10" s="449">
        <f t="shared" si="3"/>
        <v>8156</v>
      </c>
    </row>
    <row r="11" spans="1:53" ht="16.5">
      <c r="A11" s="323" t="s">
        <v>218</v>
      </c>
      <c r="B11" s="949"/>
      <c r="C11" s="449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>
        <f t="shared" si="0"/>
        <v>0</v>
      </c>
      <c r="AW11" s="443">
        <f t="shared" si="1"/>
        <v>0</v>
      </c>
      <c r="AX11" s="448"/>
      <c r="AY11" s="443"/>
      <c r="AZ11" s="459">
        <f t="shared" si="2"/>
        <v>0</v>
      </c>
      <c r="BA11" s="449">
        <f t="shared" si="3"/>
        <v>0</v>
      </c>
    </row>
    <row r="12" spans="1:53" ht="16.5">
      <c r="A12" s="442" t="s">
        <v>214</v>
      </c>
      <c r="B12" s="948">
        <v>427516</v>
      </c>
      <c r="C12" s="449">
        <v>556093</v>
      </c>
      <c r="D12" s="443">
        <v>58846</v>
      </c>
      <c r="E12" s="443">
        <v>79587</v>
      </c>
      <c r="F12" s="443">
        <v>283114</v>
      </c>
      <c r="G12" s="443">
        <v>345514</v>
      </c>
      <c r="H12" s="443">
        <v>1142141</v>
      </c>
      <c r="I12" s="443">
        <v>1298601</v>
      </c>
      <c r="J12" s="443">
        <v>140970</v>
      </c>
      <c r="K12" s="443">
        <v>221329</v>
      </c>
      <c r="L12" s="443">
        <v>163819</v>
      </c>
      <c r="M12" s="443">
        <v>209371</v>
      </c>
      <c r="N12" s="443">
        <v>105146</v>
      </c>
      <c r="O12" s="443">
        <v>162462</v>
      </c>
      <c r="P12" s="443">
        <v>36004</v>
      </c>
      <c r="Q12" s="443">
        <v>65606</v>
      </c>
      <c r="R12" s="443">
        <v>514913</v>
      </c>
      <c r="S12" s="443">
        <v>631600</v>
      </c>
      <c r="T12" s="443">
        <v>167418</v>
      </c>
      <c r="U12" s="443">
        <v>198387</v>
      </c>
      <c r="V12" s="443">
        <v>1959354</v>
      </c>
      <c r="W12" s="443">
        <v>2563311</v>
      </c>
      <c r="X12" s="443">
        <v>1647341</v>
      </c>
      <c r="Y12" s="443">
        <v>2101272</v>
      </c>
      <c r="Z12" s="443">
        <v>260921</v>
      </c>
      <c r="AA12" s="443">
        <v>353325</v>
      </c>
      <c r="AB12" s="443">
        <v>99889</v>
      </c>
      <c r="AC12" s="443">
        <v>120231</v>
      </c>
      <c r="AD12" s="443">
        <v>486914</v>
      </c>
      <c r="AE12" s="443">
        <v>651241</v>
      </c>
      <c r="AF12" s="443">
        <v>1929184.16</v>
      </c>
      <c r="AG12" s="443">
        <v>2491797.65</v>
      </c>
      <c r="AH12" s="443">
        <v>556695</v>
      </c>
      <c r="AI12" s="443">
        <v>734024</v>
      </c>
      <c r="AJ12" s="443">
        <v>653715</v>
      </c>
      <c r="AK12" s="443">
        <v>833522</v>
      </c>
      <c r="AL12" s="443">
        <v>66323</v>
      </c>
      <c r="AM12" s="443">
        <v>77075</v>
      </c>
      <c r="AN12" s="443">
        <v>3232192</v>
      </c>
      <c r="AO12" s="443">
        <v>3986538</v>
      </c>
      <c r="AP12" s="443">
        <v>121958</v>
      </c>
      <c r="AQ12" s="443">
        <v>172353</v>
      </c>
      <c r="AR12" s="443">
        <v>215797</v>
      </c>
      <c r="AS12" s="443">
        <v>274929</v>
      </c>
      <c r="AT12" s="443">
        <v>838649</v>
      </c>
      <c r="AU12" s="443">
        <v>1007134</v>
      </c>
      <c r="AV12" s="443">
        <f t="shared" si="0"/>
        <v>15108819.16</v>
      </c>
      <c r="AW12" s="443">
        <f t="shared" si="1"/>
        <v>19135302.65</v>
      </c>
      <c r="AX12" s="448">
        <v>169332161</v>
      </c>
      <c r="AY12" s="443">
        <v>188100946</v>
      </c>
      <c r="AZ12" s="459">
        <f t="shared" si="2"/>
        <v>184440980.16</v>
      </c>
      <c r="BA12" s="449">
        <f t="shared" si="3"/>
        <v>207236248.65</v>
      </c>
    </row>
    <row r="13" spans="1:53" ht="16.5">
      <c r="A13" s="442" t="s">
        <v>215</v>
      </c>
      <c r="B13" s="948">
        <v>5681</v>
      </c>
      <c r="C13" s="449">
        <v>6818</v>
      </c>
      <c r="D13" s="443"/>
      <c r="E13" s="443">
        <v>27</v>
      </c>
      <c r="F13" s="443">
        <v>2783</v>
      </c>
      <c r="G13" s="443">
        <v>3021</v>
      </c>
      <c r="H13" s="443">
        <v>16516</v>
      </c>
      <c r="I13" s="443">
        <v>16837</v>
      </c>
      <c r="J13" s="443"/>
      <c r="K13" s="443"/>
      <c r="L13" s="443">
        <v>5846</v>
      </c>
      <c r="M13" s="443">
        <v>6567</v>
      </c>
      <c r="N13" s="443"/>
      <c r="O13" s="443"/>
      <c r="P13" s="443">
        <v>323</v>
      </c>
      <c r="Q13" s="443">
        <v>1597</v>
      </c>
      <c r="R13" s="443">
        <v>3235</v>
      </c>
      <c r="S13" s="443">
        <v>4005</v>
      </c>
      <c r="T13" s="443">
        <v>369</v>
      </c>
      <c r="U13" s="443">
        <v>577</v>
      </c>
      <c r="V13" s="443">
        <v>91504</v>
      </c>
      <c r="W13" s="443">
        <v>127977</v>
      </c>
      <c r="X13" s="443">
        <v>211860</v>
      </c>
      <c r="Y13" s="443">
        <v>228902</v>
      </c>
      <c r="Z13" s="443"/>
      <c r="AA13" s="443"/>
      <c r="AB13" s="443"/>
      <c r="AC13" s="443">
        <v>34</v>
      </c>
      <c r="AD13" s="443">
        <v>2982</v>
      </c>
      <c r="AE13" s="443">
        <v>5830</v>
      </c>
      <c r="AF13" s="443">
        <v>8653.07</v>
      </c>
      <c r="AG13" s="443">
        <v>10980.01</v>
      </c>
      <c r="AH13" s="443">
        <v>235</v>
      </c>
      <c r="AI13" s="443">
        <v>1236</v>
      </c>
      <c r="AJ13" s="443">
        <v>2167</v>
      </c>
      <c r="AK13" s="443">
        <v>2544</v>
      </c>
      <c r="AL13" s="443"/>
      <c r="AM13" s="443"/>
      <c r="AN13" s="443">
        <v>222463</v>
      </c>
      <c r="AO13" s="443">
        <v>242225</v>
      </c>
      <c r="AP13" s="443">
        <v>46</v>
      </c>
      <c r="AQ13" s="443">
        <v>201</v>
      </c>
      <c r="AR13" s="443">
        <v>11225</v>
      </c>
      <c r="AS13" s="443">
        <v>13821</v>
      </c>
      <c r="AT13" s="443">
        <v>3480</v>
      </c>
      <c r="AU13" s="443">
        <v>3409</v>
      </c>
      <c r="AV13" s="443">
        <f t="shared" si="0"/>
        <v>589368.0700000001</v>
      </c>
      <c r="AW13" s="443">
        <f t="shared" si="1"/>
        <v>676608.01</v>
      </c>
      <c r="AX13" s="448">
        <v>2118038</v>
      </c>
      <c r="AY13" s="443">
        <v>3762140</v>
      </c>
      <c r="AZ13" s="459">
        <f t="shared" si="2"/>
        <v>2707406.0700000003</v>
      </c>
      <c r="BA13" s="449">
        <f t="shared" si="3"/>
        <v>4438748.01</v>
      </c>
    </row>
    <row r="14" spans="1:53" ht="16.5">
      <c r="A14" s="442" t="s">
        <v>216</v>
      </c>
      <c r="B14" s="948">
        <v>92914</v>
      </c>
      <c r="C14" s="449">
        <v>158927</v>
      </c>
      <c r="D14" s="443">
        <v>376</v>
      </c>
      <c r="E14" s="443">
        <v>235</v>
      </c>
      <c r="F14" s="443">
        <v>15982</v>
      </c>
      <c r="G14" s="443">
        <v>15143</v>
      </c>
      <c r="H14" s="443">
        <v>503704</v>
      </c>
      <c r="I14" s="443">
        <v>573403</v>
      </c>
      <c r="J14" s="443">
        <v>437</v>
      </c>
      <c r="K14" s="443">
        <v>476</v>
      </c>
      <c r="L14" s="443">
        <v>36961</v>
      </c>
      <c r="M14" s="443">
        <v>52126</v>
      </c>
      <c r="N14" s="443"/>
      <c r="O14" s="443"/>
      <c r="P14" s="443">
        <v>1212</v>
      </c>
      <c r="Q14" s="443">
        <v>2396</v>
      </c>
      <c r="R14" s="443">
        <v>140038</v>
      </c>
      <c r="S14" s="443">
        <v>161567</v>
      </c>
      <c r="T14" s="443">
        <v>4056</v>
      </c>
      <c r="U14" s="443">
        <v>2935</v>
      </c>
      <c r="V14" s="443">
        <v>354751</v>
      </c>
      <c r="W14" s="443">
        <v>507806</v>
      </c>
      <c r="X14" s="443">
        <v>83484</v>
      </c>
      <c r="Y14" s="443">
        <v>83906</v>
      </c>
      <c r="Z14" s="443">
        <v>16844</v>
      </c>
      <c r="AA14" s="443">
        <v>8278</v>
      </c>
      <c r="AB14" s="443">
        <v>418298</v>
      </c>
      <c r="AC14" s="443">
        <v>553604</v>
      </c>
      <c r="AD14" s="443">
        <v>22480</v>
      </c>
      <c r="AE14" s="443">
        <v>26609</v>
      </c>
      <c r="AF14" s="443">
        <v>6299.3</v>
      </c>
      <c r="AG14" s="443">
        <v>6424.25</v>
      </c>
      <c r="AH14" s="443">
        <v>10692</v>
      </c>
      <c r="AI14" s="443">
        <v>8968</v>
      </c>
      <c r="AJ14" s="443">
        <v>14486</v>
      </c>
      <c r="AK14" s="443">
        <v>12083</v>
      </c>
      <c r="AL14" s="443">
        <v>267</v>
      </c>
      <c r="AM14" s="443">
        <v>289</v>
      </c>
      <c r="AN14" s="443">
        <v>448542</v>
      </c>
      <c r="AO14" s="443">
        <v>538820</v>
      </c>
      <c r="AP14" s="443"/>
      <c r="AQ14" s="443"/>
      <c r="AR14" s="443"/>
      <c r="AS14" s="443">
        <v>9968</v>
      </c>
      <c r="AT14" s="443">
        <v>52566</v>
      </c>
      <c r="AU14" s="443">
        <v>56736</v>
      </c>
      <c r="AV14" s="443">
        <f t="shared" si="0"/>
        <v>2224389.3</v>
      </c>
      <c r="AW14" s="443">
        <f t="shared" si="1"/>
        <v>2780699.25</v>
      </c>
      <c r="AX14" s="448">
        <v>26400736</v>
      </c>
      <c r="AY14" s="443">
        <v>32242105</v>
      </c>
      <c r="AZ14" s="459">
        <f t="shared" si="2"/>
        <v>28625125.3</v>
      </c>
      <c r="BA14" s="449">
        <f t="shared" si="3"/>
        <v>35022804.25</v>
      </c>
    </row>
    <row r="15" spans="1:53" ht="16.5">
      <c r="A15" s="442" t="s">
        <v>217</v>
      </c>
      <c r="B15" s="948">
        <v>55</v>
      </c>
      <c r="C15" s="449">
        <v>50</v>
      </c>
      <c r="D15" s="443">
        <v>227</v>
      </c>
      <c r="E15" s="443">
        <v>221</v>
      </c>
      <c r="F15" s="443">
        <v>449</v>
      </c>
      <c r="G15" s="443">
        <v>641</v>
      </c>
      <c r="H15" s="443">
        <v>1869</v>
      </c>
      <c r="I15" s="443">
        <v>1627</v>
      </c>
      <c r="J15" s="443">
        <v>756</v>
      </c>
      <c r="K15" s="443">
        <v>960</v>
      </c>
      <c r="L15" s="443"/>
      <c r="M15" s="443"/>
      <c r="N15" s="443"/>
      <c r="O15" s="443">
        <v>35</v>
      </c>
      <c r="P15" s="443">
        <v>68</v>
      </c>
      <c r="Q15" s="443">
        <v>170</v>
      </c>
      <c r="R15" s="443"/>
      <c r="S15" s="443">
        <v>2</v>
      </c>
      <c r="T15" s="443"/>
      <c r="U15" s="443">
        <v>43</v>
      </c>
      <c r="V15" s="443">
        <v>2854</v>
      </c>
      <c r="W15" s="443">
        <v>2946</v>
      </c>
      <c r="X15" s="443">
        <v>3219</v>
      </c>
      <c r="Y15" s="443">
        <v>2893</v>
      </c>
      <c r="Z15" s="443"/>
      <c r="AA15" s="443"/>
      <c r="AB15" s="443">
        <v>382</v>
      </c>
      <c r="AC15" s="443">
        <v>336</v>
      </c>
      <c r="AD15" s="443"/>
      <c r="AE15" s="443"/>
      <c r="AF15" s="443">
        <v>167.23</v>
      </c>
      <c r="AG15" s="443">
        <v>725.93</v>
      </c>
      <c r="AH15" s="443">
        <v>1004</v>
      </c>
      <c r="AI15" s="443">
        <v>4642</v>
      </c>
      <c r="AJ15" s="443">
        <v>5525</v>
      </c>
      <c r="AK15" s="443">
        <v>4722</v>
      </c>
      <c r="AL15" s="443"/>
      <c r="AM15" s="443"/>
      <c r="AN15" s="443">
        <v>97</v>
      </c>
      <c r="AO15" s="443">
        <v>43</v>
      </c>
      <c r="AP15" s="443"/>
      <c r="AQ15" s="443"/>
      <c r="AR15" s="443">
        <v>137</v>
      </c>
      <c r="AS15" s="443">
        <v>1471</v>
      </c>
      <c r="AT15" s="443">
        <v>1930</v>
      </c>
      <c r="AU15" s="443">
        <v>2097</v>
      </c>
      <c r="AV15" s="443">
        <f t="shared" si="0"/>
        <v>18739.23</v>
      </c>
      <c r="AW15" s="443">
        <f t="shared" si="1"/>
        <v>23624.93</v>
      </c>
      <c r="AX15" s="448">
        <v>57666</v>
      </c>
      <c r="AY15" s="443">
        <v>54704</v>
      </c>
      <c r="AZ15" s="459">
        <f t="shared" si="2"/>
        <v>76405.23</v>
      </c>
      <c r="BA15" s="449">
        <f t="shared" si="3"/>
        <v>78328.93</v>
      </c>
    </row>
    <row r="16" spans="1:53" ht="16.5">
      <c r="A16" s="953" t="s">
        <v>219</v>
      </c>
      <c r="B16" s="950">
        <v>42122</v>
      </c>
      <c r="C16" s="544">
        <v>93055</v>
      </c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443">
        <f t="shared" si="0"/>
        <v>42122</v>
      </c>
      <c r="AW16" s="443">
        <f t="shared" si="1"/>
        <v>93055</v>
      </c>
      <c r="AX16" s="596"/>
      <c r="AY16" s="543"/>
      <c r="AZ16" s="459">
        <f t="shared" si="2"/>
        <v>42122</v>
      </c>
      <c r="BA16" s="449">
        <f t="shared" si="3"/>
        <v>93055</v>
      </c>
    </row>
    <row r="17" spans="1:53" ht="16.5">
      <c r="A17" s="442" t="s">
        <v>220</v>
      </c>
      <c r="B17" s="948"/>
      <c r="C17" s="449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>
        <v>3004</v>
      </c>
      <c r="S17" s="443">
        <v>4332</v>
      </c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>
        <f t="shared" si="0"/>
        <v>3004</v>
      </c>
      <c r="AW17" s="443">
        <f t="shared" si="1"/>
        <v>4332</v>
      </c>
      <c r="AX17" s="448"/>
      <c r="AY17" s="443"/>
      <c r="AZ17" s="459">
        <f t="shared" si="2"/>
        <v>3004</v>
      </c>
      <c r="BA17" s="449">
        <f t="shared" si="3"/>
        <v>4332</v>
      </c>
    </row>
    <row r="18" spans="1:53" ht="18">
      <c r="A18" s="955" t="s">
        <v>221</v>
      </c>
      <c r="B18" s="951"/>
      <c r="C18" s="449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>
        <f t="shared" si="0"/>
        <v>0</v>
      </c>
      <c r="AW18" s="443">
        <f t="shared" si="1"/>
        <v>0</v>
      </c>
      <c r="AX18" s="448"/>
      <c r="AY18" s="443"/>
      <c r="AZ18" s="459">
        <f t="shared" si="2"/>
        <v>0</v>
      </c>
      <c r="BA18" s="449">
        <f t="shared" si="3"/>
        <v>0</v>
      </c>
    </row>
    <row r="19" spans="1:53" ht="16.5">
      <c r="A19" s="442" t="s">
        <v>214</v>
      </c>
      <c r="B19" s="948"/>
      <c r="C19" s="449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>
        <v>9236</v>
      </c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>
        <f t="shared" si="0"/>
        <v>0</v>
      </c>
      <c r="AW19" s="443">
        <f t="shared" si="1"/>
        <v>9236</v>
      </c>
      <c r="AX19" s="448"/>
      <c r="AY19" s="443"/>
      <c r="AZ19" s="459">
        <f t="shared" si="2"/>
        <v>0</v>
      </c>
      <c r="BA19" s="449">
        <f t="shared" si="3"/>
        <v>9236</v>
      </c>
    </row>
    <row r="20" spans="1:53" ht="16.5">
      <c r="A20" s="442" t="s">
        <v>215</v>
      </c>
      <c r="B20" s="948"/>
      <c r="C20" s="449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>
        <f t="shared" si="0"/>
        <v>0</v>
      </c>
      <c r="AW20" s="443">
        <f t="shared" si="1"/>
        <v>0</v>
      </c>
      <c r="AX20" s="448"/>
      <c r="AY20" s="443"/>
      <c r="AZ20" s="459">
        <f t="shared" si="2"/>
        <v>0</v>
      </c>
      <c r="BA20" s="449">
        <f t="shared" si="3"/>
        <v>0</v>
      </c>
    </row>
    <row r="21" spans="1:53" ht="16.5">
      <c r="A21" s="442" t="s">
        <v>216</v>
      </c>
      <c r="B21" s="948"/>
      <c r="C21" s="449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>
        <v>1368</v>
      </c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>
        <f t="shared" si="0"/>
        <v>0</v>
      </c>
      <c r="AW21" s="443">
        <f t="shared" si="1"/>
        <v>1368</v>
      </c>
      <c r="AX21" s="448"/>
      <c r="AY21" s="443"/>
      <c r="AZ21" s="459">
        <f t="shared" si="2"/>
        <v>0</v>
      </c>
      <c r="BA21" s="449">
        <f t="shared" si="3"/>
        <v>1368</v>
      </c>
    </row>
    <row r="22" spans="1:53" ht="17.25" thickBot="1">
      <c r="A22" s="954" t="s">
        <v>217</v>
      </c>
      <c r="B22" s="952"/>
      <c r="C22" s="450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>
        <f t="shared" si="0"/>
        <v>0</v>
      </c>
      <c r="AW22" s="444">
        <f t="shared" si="1"/>
        <v>0</v>
      </c>
      <c r="AX22" s="597"/>
      <c r="AY22" s="444"/>
      <c r="AZ22" s="797">
        <f t="shared" si="2"/>
        <v>0</v>
      </c>
      <c r="BA22" s="450">
        <f t="shared" si="3"/>
        <v>0</v>
      </c>
    </row>
  </sheetData>
  <sheetProtection/>
  <mergeCells count="27">
    <mergeCell ref="AN2:AO2"/>
    <mergeCell ref="AL2:AM2"/>
    <mergeCell ref="AZ2:BA2"/>
    <mergeCell ref="AX2:AY2"/>
    <mergeCell ref="AV2:AW2"/>
    <mergeCell ref="AT2:AU2"/>
    <mergeCell ref="AR2:AS2"/>
    <mergeCell ref="AP2:AQ2"/>
    <mergeCell ref="Z2:AA2"/>
    <mergeCell ref="AB2:AC2"/>
    <mergeCell ref="AD2:AE2"/>
    <mergeCell ref="AF2:AG2"/>
    <mergeCell ref="AH2:AI2"/>
    <mergeCell ref="AJ2:AK2"/>
    <mergeCell ref="L2:M2"/>
    <mergeCell ref="X2:Y2"/>
    <mergeCell ref="V2:W2"/>
    <mergeCell ref="T2:U2"/>
    <mergeCell ref="R2:S2"/>
    <mergeCell ref="P2:Q2"/>
    <mergeCell ref="N2:O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Pande Sandeep</cp:lastModifiedBy>
  <dcterms:created xsi:type="dcterms:W3CDTF">2019-02-21T06:27:16Z</dcterms:created>
  <dcterms:modified xsi:type="dcterms:W3CDTF">2019-10-23T11:07:33Z</dcterms:modified>
  <cp:category/>
  <cp:version/>
  <cp:contentType/>
  <cp:contentStatus/>
</cp:coreProperties>
</file>